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eath Counter" sheetId="1" r:id="rId4"/>
    <sheet state="visible" name="Extended Death Count" sheetId="2" r:id="rId5"/>
    <sheet state="visible" name="hololive POVs by Day" sheetId="3" r:id="rId6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A1">
      <text>
        <t xml:space="preserve">- days are shown in JST; some cells appear to overlap, indicating that the stream spanned that day
✔ // denotes the talent has POV
- // denotes talent is present off-stream prior to midnight JST of that day or on Twitch
✘ // not present during that day
Certain apperances may be missing, and I cannot catch them all so I apologize if there are errors.
</t>
      </text>
    </comment>
  </commentList>
</comments>
</file>

<file path=xl/sharedStrings.xml><?xml version="1.0" encoding="utf-8"?>
<sst xmlns="http://schemas.openxmlformats.org/spreadsheetml/2006/main" count="716" uniqueCount="104">
  <si>
    <r>
      <rPr>
        <rFont val="Roboto"/>
        <color rgb="FFFFFFFF"/>
        <sz val="19.0"/>
      </rPr>
      <t xml:space="preserve">Death Counter </t>
    </r>
    <r>
      <rPr>
        <rFont val="Roboto"/>
        <color rgb="FFFFFFFF"/>
        <sz val="8.0"/>
      </rPr>
      <t>(Only counting on-screen deaths that show up in the chat)</t>
    </r>
  </si>
  <si>
    <t>Days →</t>
  </si>
  <si>
    <t>Day 1</t>
  </si>
  <si>
    <t>Day 2</t>
  </si>
  <si>
    <t>Day 3</t>
  </si>
  <si>
    <t>Day 4</t>
  </si>
  <si>
    <t>Day 5</t>
  </si>
  <si>
    <t>Day 6</t>
  </si>
  <si>
    <t>Day 7</t>
  </si>
  <si>
    <t>Day 8</t>
  </si>
  <si>
    <t>*Values may not entirely be accurate</t>
  </si>
  <si>
    <t>holoMem/Group ↓</t>
  </si>
  <si>
    <t>Total</t>
  </si>
  <si>
    <t>AZKi</t>
  </si>
  <si>
    <t>Oozora Subaru</t>
  </si>
  <si>
    <t>Nekomata Okayu</t>
  </si>
  <si>
    <t>Usada Pekora</t>
  </si>
  <si>
    <t>Houshou Marine</t>
  </si>
  <si>
    <t>Amane Kanata</t>
  </si>
  <si>
    <t>Himemori Luna</t>
  </si>
  <si>
    <t>Yukihana Lamy</t>
  </si>
  <si>
    <t>Momosuzu Nene</t>
  </si>
  <si>
    <t>Omaru Polka</t>
  </si>
  <si>
    <t>La+ Darknesss</t>
  </si>
  <si>
    <t>Otonose Kanade</t>
  </si>
  <si>
    <t>Ichijou Ririka</t>
  </si>
  <si>
    <t>Mizumiya Su</t>
  </si>
  <si>
    <t>Kikirara Vivi</t>
  </si>
  <si>
    <t>-Total-</t>
  </si>
  <si>
    <t>Death No.</t>
  </si>
  <si>
    <t>HoloMem</t>
  </si>
  <si>
    <t>Cause of Death</t>
  </si>
  <si>
    <t>Fire (went up in flames)</t>
  </si>
  <si>
    <t>shot by Momosuzu Nene (with a Dragonbone Bow)</t>
  </si>
  <si>
    <t>Cooked (by a Fire Dragon)</t>
  </si>
  <si>
    <t>Annihilated (by an Ice Dragon)</t>
  </si>
  <si>
    <t>Incinerated (by Oozora Subaru's Fire Dragon)</t>
  </si>
  <si>
    <t>Fall Damage (doomed to fall by Death Worm)</t>
  </si>
  <si>
    <t>Petrification (while fighting a Gorgon)</t>
  </si>
  <si>
    <t>Burnt to Death</t>
  </si>
  <si>
    <t>Fall Damage (from a high place)</t>
  </si>
  <si>
    <t>Incinerated (by a Fire Dragon)</t>
  </si>
  <si>
    <t>Dread Ghoul</t>
  </si>
  <si>
    <t>Fall Damage (doomed to fall by Cyclops)</t>
  </si>
  <si>
    <t>Fall Damage (doomed to fall)</t>
  </si>
  <si>
    <t>Annihilated (by a Lightning Dragon)</t>
  </si>
  <si>
    <t>Shot by Mizumiya Su (with a Dragonbone Bow)</t>
  </si>
  <si>
    <t>Ghost</t>
  </si>
  <si>
    <t>Burnt to a Crisp (while fighting Fire Dragon)</t>
  </si>
  <si>
    <t>Cyclops</t>
  </si>
  <si>
    <t>Fall Damage (off of some vines)</t>
  </si>
  <si>
    <t>Fall Damage (doomed to fall by Lightning Dragon)</t>
  </si>
  <si>
    <t>Dread Beast</t>
  </si>
  <si>
    <t>shot by Mizumiya Su (with a Flame Dragonbone Bow)</t>
  </si>
  <si>
    <t>Fall Damage (doomed to fall by Fire Dragon)</t>
  </si>
  <si>
    <t>Electrocuted (from by Lightning Dragon)</t>
  </si>
  <si>
    <t>Annihilated (by a Fire Dragon)</t>
  </si>
  <si>
    <t>Sea Serpent</t>
  </si>
  <si>
    <t>Amphithere</t>
  </si>
  <si>
    <t>Explosion (from TNT)</t>
  </si>
  <si>
    <t>Suffocation</t>
  </si>
  <si>
    <t>Suffocation (while fighting Lightning Dragon)</t>
  </si>
  <si>
    <t>Explosion (from a Death Worm)</t>
  </si>
  <si>
    <t>Fall Damage (doomed to fall by an Ice Dragon)</t>
  </si>
  <si>
    <t>Suffocation (while fighting Ice Dragon)</t>
  </si>
  <si>
    <t>Shot by Himemori Luna (with a Dragonbone Bow)</t>
  </si>
  <si>
    <t>Petrification (while fighting Oozora Subaru)</t>
  </si>
  <si>
    <t>Withered Away (While fighting Cockatrice)</t>
  </si>
  <si>
    <t>Shot by Amane Kanata (with a Dragonbone Bow)</t>
  </si>
  <si>
    <t>Petrification (from a Gorgon's Head)</t>
  </si>
  <si>
    <t>Electrocuted (by a Lightning Dragon)</t>
  </si>
  <si>
    <t>Fall Damage (doomed to fall by Ice Dragon)</t>
  </si>
  <si>
    <t>Burnt to a Crisp (while fighting Yukihana Lamy's Fire Dragon)</t>
  </si>
  <si>
    <t>Frozen (by Kikirara Vivi's Ice Dragon)</t>
  </si>
  <si>
    <t>Drowning</t>
  </si>
  <si>
    <t>Struck by Lightning (from a Lightning Dragon)</t>
  </si>
  <si>
    <t>Burnt to a Crisp (while fighting Omaru Polka's Fire Dragon)</t>
  </si>
  <si>
    <t>Electrocuted (by Usada Pekora's Lightning Dragon)</t>
  </si>
  <si>
    <t>Drowning (while escaping from a Fire Dragon)</t>
  </si>
  <si>
    <t>Cooked (by Ichijou Ririka's Fire Dragon)</t>
  </si>
  <si>
    <t>Struck by Lightning (by Usada Pekora's Lightning Dragon)</t>
  </si>
  <si>
    <t>Dread Knight</t>
  </si>
  <si>
    <t>Frozen (by an Ice Dragon)</t>
  </si>
  <si>
    <t>Ice Spikes</t>
  </si>
  <si>
    <t>Prickled to Death (while trying to escape Ice Dragon)</t>
  </si>
  <si>
    <t>Dread Scuttler</t>
  </si>
  <si>
    <t>Cooked (by Otonose Kanade's Fire Dragon)</t>
  </si>
  <si>
    <t>Explosion (from a Creeper)</t>
  </si>
  <si>
    <t>Cooked (by Amane Kanata's Fire Dragon)</t>
  </si>
  <si>
    <t>Dread Throll</t>
  </si>
  <si>
    <t>Burnt to a Crisp (while fighting Amane Kanata's Fire Dragon)</t>
  </si>
  <si>
    <t>Cooked (by Oozora Subaru's Fire Dragon)</t>
  </si>
  <si>
    <t>Struck by Lightning while fighting Oozora Subaru (from a Lightning Dragon)</t>
  </si>
  <si>
    <t>Thorns (from Amane Kanata's Dragon Steel Armor)</t>
  </si>
  <si>
    <t>Turned Into Ice (by an Ice Dragon)</t>
  </si>
  <si>
    <t>Suffocation (while fighting Cyclops)</t>
  </si>
  <si>
    <t>Shot (by a Skeleton)</t>
  </si>
  <si>
    <t>Incinerated (by Oozora Subaru's Fire Dragon</t>
  </si>
  <si>
    <t>Walked into Fire (while fighting Fire Dragon)</t>
  </si>
  <si>
    <t>Shot by Kikirara Vivi (with a Bow)</t>
  </si>
  <si>
    <r>
      <rPr>
        <rFont val="Roboto"/>
        <color rgb="FFFFFFFF"/>
        <sz val="23.0"/>
      </rPr>
      <t>Member POVs</t>
    </r>
    <r>
      <rPr>
        <rFont val="Roboto"/>
        <color rgb="FFFFFFFF"/>
        <sz val="8.0"/>
      </rPr>
      <t xml:space="preserve"> (click on for notes)</t>
    </r>
  </si>
  <si>
    <t>holoMem</t>
  </si>
  <si>
    <t>✘</t>
  </si>
  <si>
    <t>-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</si>
</sst>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✓"/>
  </numFmts>
  <fonts count="51">
    <font>
      <sz val="10.0"/>
      <color rgb="FF000000"/>
      <name val="Arial"/>
      <scheme val="minor"/>
    </font>
    <font>
      <sz val="11.0"/>
      <color rgb="FFFFFFFF"/>
      <name val="Roboto"/>
    </font>
    <font/>
    <font>
      <sz val="15.0"/>
      <color rgb="FFFFFFFF"/>
      <name val="Roboto"/>
    </font>
    <font>
      <sz val="7.0"/>
      <color rgb="FFFFFFFF"/>
      <name val="Roboto"/>
    </font>
    <font>
      <color rgb="FFFFFFFF"/>
      <name val="Roboto"/>
    </font>
    <font>
      <color theme="1"/>
      <name val="Roboto"/>
    </font>
    <font>
      <u/>
      <color rgb="FFFFFEFF"/>
      <name val="Roboto"/>
    </font>
    <font>
      <color rgb="FFFFFEFF"/>
      <name val="Roboto"/>
    </font>
    <font>
      <u/>
      <color rgb="FFE84A1A"/>
      <name val="Roboto"/>
    </font>
    <font>
      <color rgb="FFE84A1A"/>
      <name val="Roboto"/>
    </font>
    <font>
      <u/>
      <color rgb="FFA565BF"/>
      <name val="Roboto"/>
    </font>
    <font>
      <color rgb="FFA565BF"/>
      <name val="Roboto"/>
    </font>
    <font>
      <u/>
      <color rgb="FFFFFFFF"/>
      <name val="Roboto"/>
    </font>
    <font>
      <u/>
      <color rgb="FF771009"/>
      <name val="Roboto"/>
    </font>
    <font>
      <color rgb="FF771009"/>
      <name val="Roboto"/>
    </font>
    <font>
      <u/>
      <color rgb="FF1D62EB"/>
      <name val="Roboto"/>
    </font>
    <font>
      <color rgb="FF1D62EB"/>
      <name val="Roboto"/>
    </font>
    <font>
      <u/>
      <color rgb="FFA2497D"/>
      <name val="Roboto"/>
    </font>
    <font>
      <color rgb="FFA2497D"/>
      <name val="Roboto"/>
    </font>
    <font>
      <u/>
      <color rgb="FF3097E9"/>
      <name val="Roboto"/>
    </font>
    <font>
      <color rgb="FF3097E9"/>
      <name val="Roboto"/>
    </font>
    <font>
      <u/>
      <color rgb="FFFF6500"/>
      <name val="Roboto"/>
    </font>
    <font>
      <color rgb="FFFF6500"/>
      <name val="Roboto"/>
    </font>
    <font>
      <color theme="1"/>
      <name val="Arial"/>
    </font>
    <font>
      <u/>
      <color rgb="FFF8ECCE"/>
      <name val="Roboto"/>
    </font>
    <font>
      <color rgb="FFF8ECCE"/>
      <name val="Roboto"/>
    </font>
    <font>
      <u/>
      <color rgb="FF9B65D7"/>
      <name val="Roboto"/>
    </font>
    <font>
      <color rgb="FF9B65D7"/>
      <name val="Roboto"/>
    </font>
    <font>
      <u/>
      <color rgb="FF6E4836"/>
      <name val="Roboto"/>
    </font>
    <font>
      <color rgb="FF6E4836"/>
      <name val="Roboto"/>
    </font>
    <font>
      <u/>
      <color rgb="FFBB3531"/>
      <name val="Roboto"/>
    </font>
    <font>
      <color rgb="FFBB3531"/>
      <name val="Roboto"/>
    </font>
    <font>
      <u/>
      <color rgb="FF666666"/>
      <name val="Roboto"/>
    </font>
    <font>
      <color rgb="FF666666"/>
      <name val="Roboto"/>
    </font>
    <font>
      <u/>
      <color rgb="FF543D4F"/>
      <name val="Roboto"/>
    </font>
    <font>
      <color rgb="FF543D4F"/>
      <name val="Roboto"/>
    </font>
    <font>
      <color rgb="FF000000"/>
      <name val="Roboto"/>
    </font>
    <font>
      <u/>
      <color rgb="FF000000"/>
      <name val="Roboto"/>
    </font>
    <font>
      <u/>
      <color rgb="FF000000"/>
      <name val="Roboto"/>
    </font>
    <font>
      <u/>
      <color rgb="FF000000"/>
      <name val="Roboto"/>
    </font>
    <font>
      <u/>
      <color rgb="FF000000"/>
      <name val="Roboto"/>
    </font>
    <font>
      <u/>
      <color rgb="FF000000"/>
      <name val="Roboto"/>
    </font>
    <font>
      <u/>
      <color rgb="FF000000"/>
      <name val="Roboto"/>
    </font>
    <font>
      <color theme="1"/>
      <name val="Arial"/>
      <scheme val="minor"/>
    </font>
    <font>
      <color rgb="FFE38C92"/>
      <name val="Roboto"/>
    </font>
    <font>
      <u/>
      <color rgb="FF0000FF"/>
    </font>
    <font>
      <u/>
      <color rgb="FFE38C92"/>
      <name val="Roboto"/>
    </font>
    <font>
      <u/>
      <color rgb="FF0000FF"/>
    </font>
    <font>
      <u/>
      <color rgb="FFA565BF"/>
      <name val="Roboto"/>
    </font>
    <font>
      <u/>
      <color rgb="FF0000FF"/>
    </font>
  </fonts>
  <fills count="20">
    <fill>
      <patternFill patternType="none"/>
    </fill>
    <fill>
      <patternFill patternType="lightGray"/>
    </fill>
    <fill>
      <patternFill patternType="solid">
        <fgColor rgb="FF434343"/>
        <bgColor rgb="FF434343"/>
      </patternFill>
    </fill>
    <fill>
      <patternFill patternType="solid">
        <fgColor rgb="FFF4A7D3"/>
        <bgColor rgb="FFF4A7D3"/>
      </patternFill>
    </fill>
    <fill>
      <patternFill patternType="solid">
        <fgColor rgb="FFED5987"/>
        <bgColor rgb="FFED5987"/>
      </patternFill>
    </fill>
    <fill>
      <patternFill patternType="solid">
        <fgColor rgb="FFE6ED71"/>
        <bgColor rgb="FFE6ED71"/>
      </patternFill>
    </fill>
    <fill>
      <patternFill patternType="solid">
        <fgColor rgb="FFF8E8FF"/>
        <bgColor rgb="FFF8E8FF"/>
      </patternFill>
    </fill>
    <fill>
      <patternFill patternType="solid">
        <fgColor rgb="FF7798E7"/>
        <bgColor rgb="FF7798E7"/>
      </patternFill>
    </fill>
    <fill>
      <patternFill patternType="solid">
        <fgColor rgb="FFDA7186"/>
        <bgColor rgb="FFDA7186"/>
      </patternFill>
    </fill>
    <fill>
      <patternFill patternType="solid">
        <fgColor rgb="FFCDD2DD"/>
        <bgColor rgb="FFCDD2DD"/>
      </patternFill>
    </fill>
    <fill>
      <patternFill patternType="solid">
        <fgColor rgb="FFFFE5BD"/>
        <bgColor rgb="FFFFE5BD"/>
      </patternFill>
    </fill>
    <fill>
      <patternFill patternType="solid">
        <fgColor rgb="FFCCEEF9"/>
        <bgColor rgb="FFCCEEF9"/>
      </patternFill>
    </fill>
    <fill>
      <patternFill patternType="solid">
        <fgColor rgb="FFC61D34"/>
        <bgColor rgb="FFC61D34"/>
      </patternFill>
    </fill>
    <fill>
      <patternFill patternType="solid">
        <fgColor rgb="FF221932"/>
        <bgColor rgb="FF221932"/>
      </patternFill>
    </fill>
    <fill>
      <patternFill patternType="solid">
        <fgColor rgb="FFFFE2AD"/>
        <bgColor rgb="FFFFE2AD"/>
      </patternFill>
    </fill>
    <fill>
      <patternFill patternType="solid">
        <fgColor rgb="FFF19B85"/>
        <bgColor rgb="FFF19B85"/>
      </patternFill>
    </fill>
    <fill>
      <patternFill patternType="solid">
        <fgColor rgb="FFB5EFFA"/>
        <bgColor rgb="FFB5EFFA"/>
      </patternFill>
    </fill>
    <fill>
      <patternFill patternType="solid">
        <fgColor rgb="FFF3719E"/>
        <bgColor rgb="FFF3719E"/>
      </patternFill>
    </fill>
    <fill>
      <patternFill patternType="solid">
        <fgColor rgb="FFFFFFFF"/>
        <bgColor rgb="FFFFFFFF"/>
      </patternFill>
    </fill>
    <fill>
      <patternFill patternType="solid">
        <fgColor rgb="FF000000"/>
        <bgColor rgb="FF000000"/>
      </patternFill>
    </fill>
  </fills>
  <borders count="59">
    <border/>
    <border>
      <left style="thin">
        <color rgb="FF000000"/>
      </left>
      <top style="hair">
        <color rgb="FF434343"/>
      </top>
    </border>
    <border>
      <right style="medium">
        <color rgb="FF000000"/>
      </right>
      <top style="hair">
        <color rgb="FF434343"/>
      </top>
    </border>
    <border>
      <left style="medium">
        <color rgb="FF000000"/>
      </left>
      <right style="thick">
        <color rgb="FF000000"/>
      </right>
      <top style="hair">
        <color rgb="FF434343"/>
      </top>
    </border>
    <border>
      <right style="dotted">
        <color rgb="FF000000"/>
      </right>
    </border>
    <border>
      <left style="thin">
        <color rgb="FF000000"/>
      </left>
    </border>
    <border>
      <right style="medium">
        <color rgb="FF000000"/>
      </right>
    </border>
    <border>
      <left style="medium">
        <color rgb="FF000000"/>
      </left>
      <right style="thick">
        <color rgb="FF000000"/>
      </right>
    </border>
    <border>
      <left style="thin">
        <color rgb="FF000000"/>
      </left>
      <bottom style="medium">
        <color rgb="FF434343"/>
      </bottom>
    </border>
    <border>
      <right style="medium">
        <color rgb="FF000000"/>
      </right>
      <bottom style="medium">
        <color rgb="FF434343"/>
      </bottom>
    </border>
    <border>
      <left style="thin">
        <color rgb="FF000000"/>
      </left>
      <top style="medium">
        <color rgb="FF434343"/>
      </top>
      <bottom style="hair">
        <color rgb="FF000000"/>
      </bottom>
    </border>
    <border>
      <right style="medium">
        <color rgb="FF000000"/>
      </right>
      <top style="medium">
        <color rgb="FF434343"/>
      </top>
      <bottom style="hair">
        <color rgb="FF000000"/>
      </bottom>
    </border>
    <border>
      <left style="medium">
        <color rgb="FF000000"/>
      </left>
      <right style="thick">
        <color rgb="FF000000"/>
      </right>
      <bottom style="hair">
        <color rgb="FF000000"/>
      </bottom>
    </border>
    <border>
      <right style="dotted">
        <color rgb="FF000000"/>
      </right>
      <bottom style="hair">
        <color rgb="FF000000"/>
      </bottom>
    </border>
    <border>
      <left style="thin">
        <color rgb="FF000000"/>
      </left>
      <bottom style="thick">
        <color rgb="FF000000"/>
      </bottom>
    </border>
    <border>
      <right style="medium">
        <color rgb="FF000000"/>
      </right>
      <bottom style="thick">
        <color rgb="FF000000"/>
      </bottom>
    </border>
    <border>
      <right style="thick">
        <color rgb="FF000000"/>
      </right>
      <bottom style="thick">
        <color rgb="FF000000"/>
      </bottom>
    </border>
    <border>
      <right style="dotted">
        <color rgb="FF000000"/>
      </right>
      <bottom style="thick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 style="medium">
        <color rgb="FF000000"/>
      </right>
      <top style="hair">
        <color rgb="FF000000"/>
      </top>
      <bottom style="hair">
        <color rgb="FF000000"/>
      </bottom>
    </border>
    <border>
      <left style="medium">
        <color rgb="FF000000"/>
      </left>
      <right style="dotted">
        <color rgb="FF000000"/>
      </right>
      <bottom style="hair">
        <color rgb="FF000000"/>
      </bottom>
    </border>
    <border>
      <left style="medium">
        <color rgb="FF000000"/>
      </left>
      <right style="thick">
        <color rgb="FF000000"/>
      </right>
      <top style="hair">
        <color rgb="FF000000"/>
      </top>
      <bottom style="hair">
        <color rgb="FF000000"/>
      </bottom>
    </border>
    <border>
      <left style="medium">
        <color rgb="FF000000"/>
      </left>
      <right style="dotted">
        <color rgb="FF000000"/>
      </right>
      <top style="hair">
        <color rgb="FF000000"/>
      </top>
      <bottom style="hair">
        <color rgb="FF000000"/>
      </bottom>
    </border>
    <border>
      <right style="dotted"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medium">
        <color rgb="FF000000"/>
      </right>
      <top style="hair">
        <color rgb="FF000000"/>
      </top>
    </border>
    <border>
      <right style="dotted">
        <color rgb="FF000000"/>
      </right>
      <top style="hair">
        <color rgb="FF000000"/>
      </top>
    </border>
    <border>
      <left style="dotted">
        <color rgb="FF000000"/>
      </left>
      <right style="dotted">
        <color rgb="FF000000"/>
      </right>
      <top style="hair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medium">
        <color rgb="FF000000"/>
      </left>
      <right style="thick">
        <color rgb="FF000000"/>
      </right>
      <top style="hair">
        <color rgb="FF000000"/>
      </top>
    </border>
    <border>
      <left style="medium">
        <color rgb="FF000000"/>
      </left>
      <right style="dotted">
        <color rgb="FF000000"/>
      </right>
      <top style="hair">
        <color rgb="FF000000"/>
      </top>
    </border>
    <border>
      <top style="medium">
        <color rgb="FF000000"/>
      </top>
      <bottom style="medium">
        <color rgb="FF000000"/>
      </bottom>
    </border>
    <border>
      <right style="dotted">
        <color rgb="FF000000"/>
      </right>
      <top style="medium">
        <color rgb="FF000000"/>
      </top>
      <bottom style="medium">
        <color rgb="FF000000"/>
      </bottom>
    </border>
    <border>
      <left style="dotted">
        <color rgb="FF000000"/>
      </left>
      <right style="thick">
        <color rgb="FF000000"/>
      </right>
      <top style="medium">
        <color rgb="FF000000"/>
      </top>
      <bottom style="medium">
        <color rgb="FF000000"/>
      </bottom>
    </border>
    <border>
      <left style="dotted">
        <color rgb="FF000000"/>
      </left>
      <right style="dotted">
        <color rgb="FF000000"/>
      </right>
      <top style="medium">
        <color rgb="FF000000"/>
      </top>
      <bottom style="medium">
        <color rgb="FF000000"/>
      </bottom>
    </border>
    <border>
      <bottom style="medium">
        <color rgb="FF000000"/>
      </bottom>
    </border>
    <border>
      <right style="thick">
        <color rgb="FF000000"/>
      </right>
      <bottom style="medium">
        <color rgb="FF000000"/>
      </bottom>
    </border>
    <border>
      <right style="medium">
        <color rgb="FF000000"/>
      </right>
      <bottom style="thin">
        <color rgb="FF000000"/>
      </bottom>
    </border>
    <border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medium">
        <color rgb="FF000000"/>
      </right>
      <bottom style="hair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hair">
        <color rgb="FF000000"/>
      </top>
      <bottom style="hair">
        <color rgb="FF000000"/>
      </bottom>
    </border>
    <border>
      <right style="thick">
        <color rgb="FF000000"/>
      </right>
      <bottom style="hair">
        <color rgb="FF000000"/>
      </bottom>
    </border>
    <border>
      <right style="thick">
        <color rgb="FF000000"/>
      </right>
      <top style="hair">
        <color rgb="FF000000"/>
      </top>
      <bottom style="hair">
        <color rgb="FF000000"/>
      </bottom>
    </border>
    <border>
      <right style="thin">
        <color rgb="FF000000"/>
      </right>
      <top style="thin">
        <color rgb="FF000000"/>
      </top>
    </border>
    <border>
      <top style="hair">
        <color rgb="FF000000"/>
      </top>
    </border>
    <border>
      <right style="thick">
        <color rgb="FF000000"/>
      </right>
      <top style="hair">
        <color rgb="FF000000"/>
      </top>
    </border>
    <border>
      <top style="medium">
        <color rgb="FF000000"/>
      </top>
    </border>
    <border>
      <right style="thick">
        <color rgb="FF000000"/>
      </right>
      <top style="medium">
        <color rgb="FF000000"/>
      </top>
    </border>
    <border>
      <right style="thick">
        <color rgb="FF000000"/>
      </right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right style="medium">
        <color rgb="FF000000"/>
      </right>
      <top style="medium">
        <color rgb="FF000000"/>
      </top>
    </border>
    <border>
      <bottom style="hair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bottom style="hair">
        <color rgb="FF000000"/>
      </bottom>
    </border>
    <border>
      <left style="dotted">
        <color rgb="FF000000"/>
      </left>
      <right style="dotted">
        <color rgb="FF000000"/>
      </right>
      <top style="hair">
        <color rgb="FF000000"/>
      </top>
      <bottom style="hair">
        <color rgb="FF000000"/>
      </bottom>
    </border>
  </borders>
  <cellStyleXfs count="1">
    <xf borderId="0" fillId="0" fontId="0" numFmtId="0" applyAlignment="1" applyFont="1"/>
  </cellStyleXfs>
  <cellXfs count="154">
    <xf borderId="0" fillId="0" fontId="0" numFmtId="0" xfId="0" applyAlignment="1" applyFont="1">
      <alignment readingOrder="0" shrinkToFit="0" vertical="bottom" wrapText="0"/>
    </xf>
    <xf borderId="1" fillId="2" fontId="1" numFmtId="49" xfId="0" applyAlignment="1" applyBorder="1" applyFill="1" applyFont="1" applyNumberFormat="1">
      <alignment horizontal="center" shrinkToFit="0" textRotation="0" wrapText="1"/>
    </xf>
    <xf borderId="2" fillId="0" fontId="2" numFmtId="0" xfId="0" applyBorder="1" applyFont="1"/>
    <xf borderId="3" fillId="2" fontId="1" numFmtId="49" xfId="0" applyAlignment="1" applyBorder="1" applyFont="1" applyNumberFormat="1">
      <alignment horizontal="center" shrinkToFit="0" textRotation="0" vertical="center" wrapText="1"/>
    </xf>
    <xf borderId="4" fillId="2" fontId="3" numFmtId="0" xfId="0" applyAlignment="1" applyBorder="1" applyFont="1">
      <alignment horizontal="center" readingOrder="0" textRotation="90" vertical="center"/>
    </xf>
    <xf borderId="5" fillId="0" fontId="2" numFmtId="0" xfId="0" applyBorder="1" applyFont="1"/>
    <xf borderId="6" fillId="0" fontId="2" numFmtId="0" xfId="0" applyBorder="1" applyFont="1"/>
    <xf borderId="7" fillId="0" fontId="2" numFmtId="0" xfId="0" applyBorder="1" applyFont="1"/>
    <xf borderId="4" fillId="0" fontId="2" numFmtId="0" xfId="0" applyBorder="1" applyFont="1"/>
    <xf borderId="8" fillId="0" fontId="2" numFmtId="0" xfId="0" applyBorder="1" applyFont="1"/>
    <xf borderId="9" fillId="0" fontId="2" numFmtId="0" xfId="0" applyBorder="1" applyFont="1"/>
    <xf borderId="10" fillId="2" fontId="4" numFmtId="49" xfId="0" applyAlignment="1" applyBorder="1" applyFont="1" applyNumberFormat="1">
      <alignment horizontal="center" textRotation="0"/>
    </xf>
    <xf borderId="11" fillId="0" fontId="2" numFmtId="0" xfId="0" applyBorder="1" applyFont="1"/>
    <xf borderId="12" fillId="0" fontId="2" numFmtId="0" xfId="0" applyBorder="1" applyFont="1"/>
    <xf borderId="13" fillId="0" fontId="2" numFmtId="0" xfId="0" applyBorder="1" applyFont="1"/>
    <xf borderId="14" fillId="2" fontId="5" numFmtId="49" xfId="0" applyAlignment="1" applyBorder="1" applyFont="1" applyNumberFormat="1">
      <alignment horizontal="center"/>
    </xf>
    <xf borderId="15" fillId="0" fontId="2" numFmtId="0" xfId="0" applyBorder="1" applyFont="1"/>
    <xf borderId="16" fillId="2" fontId="5" numFmtId="49" xfId="0" applyAlignment="1" applyBorder="1" applyFont="1" applyNumberFormat="1">
      <alignment horizontal="center" shrinkToFit="0" textRotation="0" wrapText="1"/>
    </xf>
    <xf borderId="17" fillId="2" fontId="5" numFmtId="49" xfId="0" applyAlignment="1" applyBorder="1" applyFont="1" applyNumberFormat="1">
      <alignment horizontal="center" shrinkToFit="0" textRotation="0" wrapText="1"/>
    </xf>
    <xf borderId="18" fillId="3" fontId="6" numFmtId="0" xfId="0" applyBorder="1" applyFill="1" applyFont="1"/>
    <xf borderId="19" fillId="4" fontId="7" numFmtId="49" xfId="0" applyAlignment="1" applyBorder="1" applyFill="1" applyFont="1" applyNumberFormat="1">
      <alignment horizontal="right"/>
    </xf>
    <xf borderId="12" fillId="4" fontId="8" numFmtId="49" xfId="0" applyAlignment="1" applyBorder="1" applyFont="1" applyNumberFormat="1">
      <alignment horizontal="center"/>
    </xf>
    <xf borderId="20" fillId="4" fontId="8" numFmtId="49" xfId="0" applyAlignment="1" applyBorder="1" applyFont="1" applyNumberFormat="1">
      <alignment horizontal="center"/>
    </xf>
    <xf borderId="13" fillId="4" fontId="8" numFmtId="49" xfId="0" applyAlignment="1" applyBorder="1" applyFont="1" applyNumberFormat="1">
      <alignment horizontal="center"/>
    </xf>
    <xf borderId="19" fillId="5" fontId="9" numFmtId="49" xfId="0" applyAlignment="1" applyBorder="1" applyFill="1" applyFont="1" applyNumberFormat="1">
      <alignment horizontal="right"/>
    </xf>
    <xf borderId="21" fillId="5" fontId="10" numFmtId="49" xfId="0" applyAlignment="1" applyBorder="1" applyFont="1" applyNumberFormat="1">
      <alignment horizontal="center"/>
    </xf>
    <xf borderId="22" fillId="5" fontId="10" numFmtId="49" xfId="0" applyAlignment="1" applyBorder="1" applyFont="1" applyNumberFormat="1">
      <alignment horizontal="center"/>
    </xf>
    <xf borderId="23" fillId="5" fontId="10" numFmtId="49" xfId="0" applyAlignment="1" applyBorder="1" applyFont="1" applyNumberFormat="1">
      <alignment horizontal="center"/>
    </xf>
    <xf borderId="19" fillId="6" fontId="11" numFmtId="49" xfId="0" applyAlignment="1" applyBorder="1" applyFill="1" applyFont="1" applyNumberFormat="1">
      <alignment horizontal="right" readingOrder="0"/>
    </xf>
    <xf borderId="21" fillId="6" fontId="12" numFmtId="49" xfId="0" applyAlignment="1" applyBorder="1" applyFont="1" applyNumberFormat="1">
      <alignment horizontal="center"/>
    </xf>
    <xf borderId="22" fillId="6" fontId="12" numFmtId="49" xfId="0" applyAlignment="1" applyBorder="1" applyFont="1" applyNumberFormat="1">
      <alignment horizontal="center"/>
    </xf>
    <xf borderId="23" fillId="6" fontId="12" numFmtId="49" xfId="0" applyAlignment="1" applyBorder="1" applyFont="1" applyNumberFormat="1">
      <alignment horizontal="center"/>
    </xf>
    <xf borderId="19" fillId="7" fontId="13" numFmtId="49" xfId="0" applyAlignment="1" applyBorder="1" applyFill="1" applyFont="1" applyNumberFormat="1">
      <alignment horizontal="right"/>
    </xf>
    <xf borderId="21" fillId="7" fontId="5" numFmtId="49" xfId="0" applyAlignment="1" applyBorder="1" applyFont="1" applyNumberFormat="1">
      <alignment horizontal="center"/>
    </xf>
    <xf borderId="22" fillId="7" fontId="5" numFmtId="49" xfId="0" applyAlignment="1" applyBorder="1" applyFont="1" applyNumberFormat="1">
      <alignment horizontal="center"/>
    </xf>
    <xf borderId="23" fillId="7" fontId="5" numFmtId="49" xfId="0" applyAlignment="1" applyBorder="1" applyFont="1" applyNumberFormat="1">
      <alignment horizontal="center"/>
    </xf>
    <xf borderId="19" fillId="8" fontId="14" numFmtId="49" xfId="0" applyAlignment="1" applyBorder="1" applyFill="1" applyFont="1" applyNumberFormat="1">
      <alignment horizontal="right"/>
    </xf>
    <xf borderId="21" fillId="8" fontId="15" numFmtId="49" xfId="0" applyAlignment="1" applyBorder="1" applyFont="1" applyNumberFormat="1">
      <alignment horizontal="center"/>
    </xf>
    <xf borderId="22" fillId="8" fontId="15" numFmtId="49" xfId="0" applyAlignment="1" applyBorder="1" applyFont="1" applyNumberFormat="1">
      <alignment horizontal="center"/>
    </xf>
    <xf borderId="23" fillId="8" fontId="15" numFmtId="49" xfId="0" applyAlignment="1" applyBorder="1" applyFont="1" applyNumberFormat="1">
      <alignment horizontal="center"/>
    </xf>
    <xf borderId="19" fillId="9" fontId="16" numFmtId="49" xfId="0" applyAlignment="1" applyBorder="1" applyFill="1" applyFont="1" applyNumberFormat="1">
      <alignment horizontal="right"/>
    </xf>
    <xf borderId="21" fillId="9" fontId="17" numFmtId="49" xfId="0" applyAlignment="1" applyBorder="1" applyFont="1" applyNumberFormat="1">
      <alignment horizontal="center"/>
    </xf>
    <xf borderId="22" fillId="9" fontId="17" numFmtId="49" xfId="0" applyAlignment="1" applyBorder="1" applyFont="1" applyNumberFormat="1">
      <alignment horizontal="center"/>
    </xf>
    <xf borderId="23" fillId="9" fontId="17" numFmtId="49" xfId="0" applyAlignment="1" applyBorder="1" applyFont="1" applyNumberFormat="1">
      <alignment horizontal="center"/>
    </xf>
    <xf borderId="24" fillId="10" fontId="6" numFmtId="0" xfId="0" applyBorder="1" applyFill="1" applyFont="1"/>
    <xf borderId="19" fillId="3" fontId="18" numFmtId="49" xfId="0" applyAlignment="1" applyBorder="1" applyFont="1" applyNumberFormat="1">
      <alignment horizontal="right"/>
    </xf>
    <xf borderId="21" fillId="3" fontId="19" numFmtId="49" xfId="0" applyAlignment="1" applyBorder="1" applyFont="1" applyNumberFormat="1">
      <alignment horizontal="center"/>
    </xf>
    <xf borderId="22" fillId="3" fontId="19" numFmtId="49" xfId="0" applyAlignment="1" applyBorder="1" applyFont="1" applyNumberFormat="1">
      <alignment horizontal="center"/>
    </xf>
    <xf borderId="23" fillId="3" fontId="19" numFmtId="49" xfId="0" applyAlignment="1" applyBorder="1" applyFont="1" applyNumberFormat="1">
      <alignment horizontal="center"/>
    </xf>
    <xf borderId="19" fillId="11" fontId="20" numFmtId="49" xfId="0" applyAlignment="1" applyBorder="1" applyFill="1" applyFont="1" applyNumberFormat="1">
      <alignment horizontal="right"/>
    </xf>
    <xf borderId="21" fillId="11" fontId="21" numFmtId="49" xfId="0" applyAlignment="1" applyBorder="1" applyFont="1" applyNumberFormat="1">
      <alignment horizontal="center"/>
    </xf>
    <xf borderId="22" fillId="11" fontId="21" numFmtId="49" xfId="0" applyAlignment="1" applyBorder="1" applyFont="1" applyNumberFormat="1">
      <alignment horizontal="center"/>
    </xf>
    <xf borderId="23" fillId="11" fontId="21" numFmtId="49" xfId="0" applyAlignment="1" applyBorder="1" applyFont="1" applyNumberFormat="1">
      <alignment horizontal="center"/>
    </xf>
    <xf borderId="19" fillId="10" fontId="22" numFmtId="49" xfId="0" applyAlignment="1" applyBorder="1" applyFont="1" applyNumberFormat="1">
      <alignment horizontal="right"/>
    </xf>
    <xf borderId="21" fillId="10" fontId="23" numFmtId="49" xfId="0" applyAlignment="1" applyBorder="1" applyFont="1" applyNumberFormat="1">
      <alignment horizontal="center"/>
    </xf>
    <xf borderId="22" fillId="10" fontId="23" numFmtId="49" xfId="0" applyAlignment="1" applyBorder="1" applyFont="1" applyNumberFormat="1">
      <alignment horizontal="center"/>
    </xf>
    <xf borderId="23" fillId="10" fontId="23" numFmtId="49" xfId="0" applyAlignment="1" applyBorder="1" applyFont="1" applyNumberFormat="1">
      <alignment horizontal="center"/>
    </xf>
    <xf borderId="18" fillId="12" fontId="24" numFmtId="0" xfId="0" applyBorder="1" applyFill="1" applyFont="1"/>
    <xf borderId="25" fillId="12" fontId="25" numFmtId="49" xfId="0" applyAlignment="1" applyBorder="1" applyFont="1" applyNumberFormat="1">
      <alignment horizontal="right"/>
    </xf>
    <xf borderId="25" fillId="12" fontId="26" numFmtId="49" xfId="0" applyAlignment="1" applyBorder="1" applyFont="1" applyNumberFormat="1">
      <alignment horizontal="center"/>
    </xf>
    <xf borderId="26" fillId="12" fontId="26" numFmtId="49" xfId="0" applyAlignment="1" applyBorder="1" applyFont="1" applyNumberFormat="1">
      <alignment horizontal="center"/>
    </xf>
    <xf borderId="27" fillId="12" fontId="26" numFmtId="49" xfId="0" applyAlignment="1" applyBorder="1" applyFont="1" applyNumberFormat="1">
      <alignment horizontal="center"/>
    </xf>
    <xf borderId="28" fillId="13" fontId="6" numFmtId="0" xfId="0" applyBorder="1" applyFill="1" applyFont="1"/>
    <xf borderId="19" fillId="13" fontId="27" numFmtId="49" xfId="0" applyAlignment="1" applyBorder="1" applyFont="1" applyNumberFormat="1">
      <alignment horizontal="right"/>
    </xf>
    <xf borderId="21" fillId="13" fontId="28" numFmtId="49" xfId="0" applyAlignment="1" applyBorder="1" applyFont="1" applyNumberFormat="1">
      <alignment horizontal="center"/>
    </xf>
    <xf borderId="22" fillId="13" fontId="28" numFmtId="49" xfId="0" applyAlignment="1" applyBorder="1" applyFont="1" applyNumberFormat="1">
      <alignment horizontal="center"/>
    </xf>
    <xf borderId="23" fillId="13" fontId="28" numFmtId="49" xfId="0" applyAlignment="1" applyBorder="1" applyFont="1" applyNumberFormat="1">
      <alignment horizontal="center"/>
    </xf>
    <xf borderId="24" fillId="14" fontId="6" numFmtId="0" xfId="0" applyBorder="1" applyFill="1" applyFont="1"/>
    <xf borderId="19" fillId="14" fontId="29" numFmtId="49" xfId="0" applyAlignment="1" applyBorder="1" applyFont="1" applyNumberFormat="1">
      <alignment horizontal="right"/>
    </xf>
    <xf borderId="21" fillId="14" fontId="30" numFmtId="49" xfId="0" applyAlignment="1" applyBorder="1" applyFont="1" applyNumberFormat="1">
      <alignment horizontal="center"/>
    </xf>
    <xf borderId="22" fillId="14" fontId="30" numFmtId="49" xfId="0" applyAlignment="1" applyBorder="1" applyFont="1" applyNumberFormat="1">
      <alignment horizontal="center"/>
    </xf>
    <xf borderId="23" fillId="14" fontId="30" numFmtId="49" xfId="0" applyAlignment="1" applyBorder="1" applyFont="1" applyNumberFormat="1">
      <alignment horizontal="center"/>
    </xf>
    <xf borderId="29" fillId="15" fontId="6" numFmtId="0" xfId="0" applyBorder="1" applyFill="1" applyFont="1"/>
    <xf borderId="19" fillId="15" fontId="31" numFmtId="49" xfId="0" applyAlignment="1" applyBorder="1" applyFont="1" applyNumberFormat="1">
      <alignment horizontal="right"/>
    </xf>
    <xf borderId="21" fillId="15" fontId="32" numFmtId="49" xfId="0" applyAlignment="1" applyBorder="1" applyFont="1" applyNumberFormat="1">
      <alignment horizontal="center"/>
    </xf>
    <xf borderId="22" fillId="15" fontId="32" numFmtId="49" xfId="0" applyAlignment="1" applyBorder="1" applyFont="1" applyNumberFormat="1">
      <alignment horizontal="center"/>
    </xf>
    <xf borderId="23" fillId="15" fontId="32" numFmtId="49" xfId="0" applyAlignment="1" applyBorder="1" applyFont="1" applyNumberFormat="1">
      <alignment horizontal="center"/>
    </xf>
    <xf borderId="28" fillId="16" fontId="6" numFmtId="0" xfId="0" applyBorder="1" applyFill="1" applyFont="1"/>
    <xf borderId="19" fillId="16" fontId="33" numFmtId="49" xfId="0" applyAlignment="1" applyBorder="1" applyFont="1" applyNumberFormat="1">
      <alignment horizontal="right"/>
    </xf>
    <xf borderId="21" fillId="16" fontId="34" numFmtId="49" xfId="0" applyAlignment="1" applyBorder="1" applyFont="1" applyNumberFormat="1">
      <alignment horizontal="center"/>
    </xf>
    <xf borderId="22" fillId="16" fontId="34" numFmtId="49" xfId="0" applyAlignment="1" applyBorder="1" applyFont="1" applyNumberFormat="1">
      <alignment horizontal="center"/>
    </xf>
    <xf borderId="23" fillId="16" fontId="34" numFmtId="49" xfId="0" applyAlignment="1" applyBorder="1" applyFont="1" applyNumberFormat="1">
      <alignment horizontal="center"/>
    </xf>
    <xf borderId="18" fillId="17" fontId="6" numFmtId="0" xfId="0" applyBorder="1" applyFill="1" applyFont="1"/>
    <xf borderId="25" fillId="17" fontId="35" numFmtId="49" xfId="0" applyAlignment="1" applyBorder="1" applyFont="1" applyNumberFormat="1">
      <alignment horizontal="right"/>
    </xf>
    <xf borderId="30" fillId="17" fontId="36" numFmtId="49" xfId="0" applyAlignment="1" applyBorder="1" applyFont="1" applyNumberFormat="1">
      <alignment horizontal="center"/>
    </xf>
    <xf borderId="31" fillId="17" fontId="36" numFmtId="49" xfId="0" applyAlignment="1" applyBorder="1" applyFont="1" applyNumberFormat="1">
      <alignment horizontal="center"/>
    </xf>
    <xf borderId="26" fillId="17" fontId="36" numFmtId="49" xfId="0" applyAlignment="1" applyBorder="1" applyFont="1" applyNumberFormat="1">
      <alignment horizontal="center"/>
    </xf>
    <xf borderId="32" fillId="2" fontId="5" numFmtId="0" xfId="0" applyAlignment="1" applyBorder="1" applyFont="1">
      <alignment horizontal="center"/>
    </xf>
    <xf borderId="33" fillId="0" fontId="2" numFmtId="0" xfId="0" applyBorder="1" applyFont="1"/>
    <xf borderId="34" fillId="2" fontId="5" numFmtId="49" xfId="0" applyAlignment="1" applyBorder="1" applyFont="1" applyNumberFormat="1">
      <alignment horizontal="center" shrinkToFit="0" wrapText="1"/>
    </xf>
    <xf borderId="35" fillId="2" fontId="5" numFmtId="49" xfId="0" applyAlignment="1" applyBorder="1" applyFont="1" applyNumberFormat="1">
      <alignment horizontal="center" shrinkToFit="0" wrapText="1"/>
    </xf>
    <xf borderId="36" fillId="2" fontId="5" numFmtId="0" xfId="0" applyAlignment="1" applyBorder="1" applyFont="1">
      <alignment horizontal="center" readingOrder="0" shrinkToFit="0" wrapText="1"/>
    </xf>
    <xf borderId="36" fillId="0" fontId="2" numFmtId="0" xfId="0" applyBorder="1" applyFont="1"/>
    <xf borderId="37" fillId="0" fontId="2" numFmtId="0" xfId="0" applyBorder="1" applyFont="1"/>
    <xf borderId="38" fillId="2" fontId="5" numFmtId="0" xfId="0" applyAlignment="1" applyBorder="1" applyFont="1">
      <alignment horizontal="center" shrinkToFit="0" wrapText="1"/>
    </xf>
    <xf borderId="39" fillId="2" fontId="5" numFmtId="0" xfId="0" applyAlignment="1" applyBorder="1" applyFont="1">
      <alignment horizontal="center" vertical="center"/>
    </xf>
    <xf borderId="39" fillId="0" fontId="2" numFmtId="0" xfId="0" applyBorder="1" applyFont="1"/>
    <xf borderId="40" fillId="2" fontId="5" numFmtId="0" xfId="0" applyAlignment="1" applyBorder="1" applyFont="1">
      <alignment horizontal="center" readingOrder="0" shrinkToFit="0" vertical="center" wrapText="1"/>
    </xf>
    <xf borderId="41" fillId="2" fontId="5" numFmtId="0" xfId="0" applyAlignment="1" applyBorder="1" applyFont="1">
      <alignment horizontal="center" vertical="bottom"/>
    </xf>
    <xf borderId="42" fillId="18" fontId="37" numFmtId="0" xfId="0" applyAlignment="1" applyBorder="1" applyFill="1" applyFont="1">
      <alignment horizontal="center" readingOrder="0"/>
    </xf>
    <xf borderId="43" fillId="18" fontId="38" numFmtId="0" xfId="0" applyAlignment="1" applyBorder="1" applyFont="1">
      <alignment horizontal="center" readingOrder="0" vertical="bottom"/>
    </xf>
    <xf borderId="44" fillId="18" fontId="37" numFmtId="0" xfId="0" applyAlignment="1" applyBorder="1" applyFont="1">
      <alignment horizontal="center" readingOrder="0" vertical="bottom"/>
    </xf>
    <xf borderId="19" fillId="2" fontId="5" numFmtId="0" xfId="0" applyAlignment="1" applyBorder="1" applyFont="1">
      <alignment horizontal="center" vertical="bottom"/>
    </xf>
    <xf borderId="45" fillId="18" fontId="37" numFmtId="0" xfId="0" applyAlignment="1" applyBorder="1" applyFont="1">
      <alignment horizontal="center" readingOrder="0" shrinkToFit="0" vertical="top" wrapText="1"/>
    </xf>
    <xf borderId="19" fillId="2" fontId="5" numFmtId="0" xfId="0" applyAlignment="1" applyBorder="1" applyFont="1">
      <alignment horizontal="center" readingOrder="0" vertical="bottom"/>
    </xf>
    <xf borderId="43" fillId="18" fontId="39" numFmtId="0" xfId="0" applyAlignment="1" applyBorder="1" applyFont="1">
      <alignment horizontal="center" readingOrder="0" shrinkToFit="0" vertical="top" wrapText="1"/>
    </xf>
    <xf borderId="45" fillId="18" fontId="37" numFmtId="0" xfId="0" applyAlignment="1" applyBorder="1" applyFont="1">
      <alignment horizontal="center" readingOrder="0" vertical="bottom"/>
    </xf>
    <xf borderId="25" fillId="2" fontId="5" numFmtId="0" xfId="0" applyAlignment="1" applyBorder="1" applyFont="1">
      <alignment horizontal="center" vertical="bottom"/>
    </xf>
    <xf borderId="46" fillId="18" fontId="37" numFmtId="0" xfId="0" applyAlignment="1" applyBorder="1" applyFont="1">
      <alignment horizontal="center" readingOrder="0"/>
    </xf>
    <xf borderId="47" fillId="18" fontId="40" numFmtId="0" xfId="0" applyAlignment="1" applyBorder="1" applyFont="1">
      <alignment horizontal="center" readingOrder="0" shrinkToFit="0" vertical="top" wrapText="1"/>
    </xf>
    <xf borderId="48" fillId="18" fontId="37" numFmtId="0" xfId="0" applyAlignment="1" applyBorder="1" applyFont="1">
      <alignment horizontal="center" readingOrder="0" shrinkToFit="0" vertical="top" wrapText="1"/>
    </xf>
    <xf borderId="49" fillId="2" fontId="5" numFmtId="0" xfId="0" applyAlignment="1" applyBorder="1" applyFont="1">
      <alignment horizontal="center" vertical="bottom"/>
    </xf>
    <xf borderId="49" fillId="0" fontId="2" numFmtId="0" xfId="0" applyBorder="1" applyFont="1"/>
    <xf borderId="50" fillId="0" fontId="2" numFmtId="0" xfId="0" applyBorder="1" applyFont="1"/>
    <xf borderId="51" fillId="0" fontId="2" numFmtId="0" xfId="0" applyBorder="1" applyFont="1"/>
    <xf borderId="47" fillId="18" fontId="41" numFmtId="0" xfId="0" applyAlignment="1" applyBorder="1" applyFont="1">
      <alignment horizontal="center" readingOrder="0" vertical="bottom"/>
    </xf>
    <xf borderId="43" fillId="18" fontId="42" numFmtId="0" xfId="0" applyAlignment="1" applyBorder="1" applyFont="1">
      <alignment horizontal="center" readingOrder="0" vertical="bottom"/>
    </xf>
    <xf borderId="45" fillId="18" fontId="37" numFmtId="0" xfId="0" applyAlignment="1" applyBorder="1" applyFont="1">
      <alignment horizontal="center" readingOrder="0" vertical="bottom"/>
    </xf>
    <xf borderId="47" fillId="18" fontId="43" numFmtId="0" xfId="0" applyAlignment="1" applyBorder="1" applyFont="1">
      <alignment horizontal="center" readingOrder="0" vertical="bottom"/>
    </xf>
    <xf borderId="48" fillId="18" fontId="37" numFmtId="0" xfId="0" applyAlignment="1" applyBorder="1" applyFont="1">
      <alignment horizontal="center" readingOrder="0" vertical="bottom"/>
    </xf>
    <xf borderId="43" fillId="18" fontId="37" numFmtId="0" xfId="0" applyAlignment="1" applyBorder="1" applyFont="1">
      <alignment horizontal="center" readingOrder="0" shrinkToFit="0" vertical="top" wrapText="1"/>
    </xf>
    <xf borderId="52" fillId="2" fontId="5" numFmtId="0" xfId="0" applyAlignment="1" applyBorder="1" applyFont="1">
      <alignment horizontal="center" vertical="bottom"/>
    </xf>
    <xf borderId="47" fillId="2" fontId="5" numFmtId="0" xfId="0" applyAlignment="1" applyBorder="1" applyFont="1">
      <alignment horizontal="center" vertical="bottom"/>
    </xf>
    <xf borderId="47" fillId="0" fontId="2" numFmtId="0" xfId="0" applyBorder="1" applyFont="1"/>
    <xf borderId="25" fillId="0" fontId="2" numFmtId="0" xfId="0" applyBorder="1" applyFont="1"/>
    <xf borderId="53" fillId="0" fontId="2" numFmtId="0" xfId="0" applyBorder="1" applyFont="1"/>
    <xf borderId="43" fillId="18" fontId="37" numFmtId="0" xfId="0" applyAlignment="1" applyBorder="1" applyFont="1">
      <alignment horizontal="center" readingOrder="0" vertical="bottom"/>
    </xf>
    <xf borderId="48" fillId="18" fontId="37" numFmtId="0" xfId="0" applyAlignment="1" applyBorder="1" applyFont="1">
      <alignment horizontal="center" readingOrder="0" vertical="bottom"/>
    </xf>
    <xf borderId="54" fillId="0" fontId="2" numFmtId="0" xfId="0" applyBorder="1" applyFont="1"/>
    <xf borderId="47" fillId="18" fontId="37" numFmtId="0" xfId="0" applyAlignment="1" applyBorder="1" applyFont="1">
      <alignment horizontal="center" readingOrder="0" shrinkToFit="0" vertical="top" wrapText="1"/>
    </xf>
    <xf borderId="55" fillId="0" fontId="2" numFmtId="0" xfId="0" applyBorder="1" applyFont="1"/>
    <xf borderId="41" fillId="0" fontId="2" numFmtId="0" xfId="0" applyBorder="1" applyFont="1"/>
    <xf borderId="32" fillId="2" fontId="37" numFmtId="0" xfId="0" applyAlignment="1" applyBorder="1" applyFont="1">
      <alignment horizontal="center" readingOrder="0"/>
    </xf>
    <xf borderId="32" fillId="0" fontId="2" numFmtId="0" xfId="0" applyBorder="1" applyFont="1"/>
    <xf borderId="56" fillId="0" fontId="2" numFmtId="0" xfId="0" applyBorder="1" applyFont="1"/>
    <xf borderId="57" fillId="0" fontId="2" numFmtId="0" xfId="0" applyBorder="1" applyFont="1"/>
    <xf borderId="44" fillId="0" fontId="2" numFmtId="0" xfId="0" applyBorder="1" applyFont="1"/>
    <xf borderId="0" fillId="2" fontId="3" numFmtId="49" xfId="0" applyAlignment="1" applyFont="1" applyNumberFormat="1">
      <alignment horizontal="center" shrinkToFit="0" wrapText="1"/>
    </xf>
    <xf borderId="14" fillId="2" fontId="5" numFmtId="49" xfId="0" applyAlignment="1" applyBorder="1" applyFont="1" applyNumberFormat="1">
      <alignment horizontal="center" readingOrder="0"/>
    </xf>
    <xf borderId="23" fillId="19" fontId="44" numFmtId="0" xfId="0" applyAlignment="1" applyBorder="1" applyFill="1" applyFont="1">
      <alignment horizontal="center" vertical="center"/>
    </xf>
    <xf borderId="0" fillId="19" fontId="44" numFmtId="0" xfId="0" applyAlignment="1" applyFont="1">
      <alignment horizontal="center" vertical="center"/>
    </xf>
    <xf borderId="24" fillId="4" fontId="6" numFmtId="0" xfId="0" applyBorder="1" applyFont="1"/>
    <xf borderId="58" fillId="0" fontId="45" numFmtId="164" xfId="0" applyAlignment="1" applyBorder="1" applyFont="1" applyNumberFormat="1">
      <alignment horizontal="center" readingOrder="0" vertical="center"/>
    </xf>
    <xf borderId="13" fillId="0" fontId="46" numFmtId="0" xfId="0" applyAlignment="1" applyBorder="1" applyFont="1">
      <alignment horizontal="center" readingOrder="0" vertical="center"/>
    </xf>
    <xf borderId="58" fillId="0" fontId="47" numFmtId="164" xfId="0" applyAlignment="1" applyBorder="1" applyFont="1" applyNumberFormat="1">
      <alignment horizontal="center" readingOrder="0" vertical="center"/>
    </xf>
    <xf borderId="18" fillId="5" fontId="6" numFmtId="0" xfId="0" applyBorder="1" applyFont="1"/>
    <xf borderId="23" fillId="0" fontId="48" numFmtId="0" xfId="0" applyAlignment="1" applyBorder="1" applyFont="1">
      <alignment horizontal="center" readingOrder="0" vertical="center"/>
    </xf>
    <xf borderId="29" fillId="6" fontId="6" numFmtId="0" xfId="0" applyBorder="1" applyFont="1"/>
    <xf borderId="19" fillId="6" fontId="49" numFmtId="49" xfId="0" applyAlignment="1" applyBorder="1" applyFont="1" applyNumberFormat="1">
      <alignment horizontal="right"/>
    </xf>
    <xf borderId="29" fillId="7" fontId="6" numFmtId="0" xfId="0" applyBorder="1" applyFont="1"/>
    <xf borderId="18" fillId="8" fontId="6" numFmtId="0" xfId="0" applyBorder="1" applyFont="1"/>
    <xf borderId="28" fillId="9" fontId="6" numFmtId="0" xfId="0" applyBorder="1" applyFont="1"/>
    <xf borderId="28" fillId="11" fontId="6" numFmtId="0" xfId="0" applyBorder="1" applyFont="1"/>
    <xf borderId="26" fillId="0" fontId="50" numFmtId="0" xfId="0" applyAlignment="1" applyBorder="1" applyFont="1">
      <alignment horizontal="center" readingOrder="0" vertical="center"/>
    </xf>
  </cellXfs>
  <cellStyles count="1">
    <cellStyle xfId="0" name="Normal" builtinId="0"/>
  </cellStyles>
  <dxfs count="84">
    <dxf>
      <font>
        <color rgb="FFFFDF99"/>
      </font>
      <fill>
        <patternFill patternType="solid">
          <fgColor rgb="FFFF3652"/>
          <bgColor rgb="FFFF3652"/>
        </patternFill>
      </fill>
      <border/>
    </dxf>
    <dxf>
      <font>
        <color rgb="FFFFB4D2"/>
      </font>
      <fill>
        <patternFill patternType="solid">
          <fgColor rgb="FF3F76EC"/>
          <bgColor rgb="FF3F76EC"/>
        </patternFill>
      </fill>
      <border/>
    </dxf>
    <dxf>
      <font>
        <color rgb="FFF8F2E4"/>
      </font>
      <fill>
        <patternFill patternType="solid">
          <fgColor rgb="FFDB8097"/>
          <bgColor rgb="FFDB8097"/>
        </patternFill>
      </fill>
      <border/>
    </dxf>
    <dxf>
      <font>
        <color rgb="FFD5383C"/>
      </font>
      <fill>
        <patternFill patternType="solid">
          <fgColor rgb="FF292424"/>
          <bgColor rgb="FF292424"/>
        </patternFill>
      </fill>
      <border/>
    </dxf>
    <dxf>
      <font>
        <color rgb="FFFFFF9B"/>
      </font>
      <fill>
        <patternFill patternType="solid">
          <fgColor rgb="FF8EB77B"/>
          <bgColor rgb="FF8EB77B"/>
        </patternFill>
      </fill>
      <border/>
    </dxf>
    <dxf>
      <font>
        <color rgb="FF9159D7"/>
      </font>
      <fill>
        <patternFill patternType="solid">
          <fgColor rgb="FF1D1B1B"/>
          <bgColor rgb="FF1D1B1B"/>
        </patternFill>
      </fill>
      <border/>
    </dxf>
    <dxf>
      <font>
        <color rgb="FF000000"/>
      </font>
      <fill>
        <patternFill patternType="solid">
          <fgColor rgb="FF5CDBE9"/>
          <bgColor rgb="FF5CDBE9"/>
        </patternFill>
      </fill>
      <border/>
    </dxf>
    <dxf>
      <font>
        <color rgb="FFF4CCCC"/>
      </font>
      <fill>
        <patternFill patternType="solid">
          <fgColor rgb="FF666666"/>
          <bgColor rgb="FF666666"/>
        </patternFill>
      </fill>
      <border/>
    </dxf>
    <dxf>
      <font/>
      <fill>
        <patternFill patternType="solid">
          <fgColor rgb="FFFF8A65"/>
          <bgColor rgb="FFFF8A65"/>
        </patternFill>
      </fill>
      <border/>
    </dxf>
    <dxf>
      <font>
        <color rgb="FFFF73B0"/>
      </font>
      <fill>
        <patternFill patternType="solid">
          <fgColor rgb="FF594FC7"/>
          <bgColor rgb="FF594FC7"/>
        </patternFill>
      </fill>
      <border/>
    </dxf>
    <dxf>
      <font>
        <color rgb="FFE38C92"/>
      </font>
      <fill>
        <patternFill patternType="solid">
          <fgColor rgb="FF39261F"/>
          <bgColor rgb="FF39261F"/>
        </patternFill>
      </fill>
      <border/>
    </dxf>
    <dxf>
      <font>
        <color rgb="FFFFFEFF"/>
      </font>
      <fill>
        <patternFill patternType="solid">
          <fgColor rgb="FFED5987"/>
          <bgColor rgb="FFED5987"/>
        </patternFill>
      </fill>
      <border/>
    </dxf>
    <dxf>
      <font>
        <color rgb="FF33328B"/>
      </font>
      <fill>
        <patternFill patternType="solid">
          <fgColor rgb="FF82B1ED"/>
          <bgColor rgb="FF82B1ED"/>
        </patternFill>
      </fill>
      <border/>
    </dxf>
    <dxf>
      <font>
        <color rgb="FFFF2355"/>
      </font>
      <fill>
        <patternFill patternType="solid">
          <fgColor rgb="FFFFB9CA"/>
          <bgColor rgb="FFFFB9CA"/>
        </patternFill>
      </fill>
      <border/>
    </dxf>
    <dxf>
      <font>
        <color rgb="FF18192D"/>
      </font>
      <fill>
        <patternFill patternType="solid">
          <fgColor rgb="FF95E5F0"/>
          <bgColor rgb="FF95E5F0"/>
        </patternFill>
      </fill>
      <border/>
    </dxf>
    <dxf>
      <font>
        <color rgb="FF000000"/>
      </font>
      <fill>
        <patternFill patternType="solid">
          <fgColor rgb="FFFFA227"/>
          <bgColor rgb="FFFFA227"/>
        </patternFill>
      </fill>
      <border/>
    </dxf>
    <dxf>
      <font>
        <color rgb="FFFFB4D2"/>
      </font>
      <fill>
        <patternFill patternType="solid">
          <fgColor rgb="FF4982FE"/>
          <bgColor rgb="FF4982FE"/>
        </patternFill>
      </fill>
      <border/>
    </dxf>
    <dxf>
      <font>
        <color rgb="FFFF3652"/>
      </font>
      <fill>
        <patternFill patternType="solid">
          <fgColor rgb="FFFFDF99"/>
          <bgColor rgb="FFFFDF99"/>
        </patternFill>
      </fill>
      <border/>
    </dxf>
    <dxf>
      <font>
        <color rgb="FFB86ED8"/>
      </font>
      <fill>
        <patternFill patternType="solid">
          <fgColor rgb="FF302E3A"/>
          <bgColor rgb="FF302E3A"/>
        </patternFill>
      </fill>
      <border/>
    </dxf>
    <dxf>
      <font>
        <color rgb="FFDE0006"/>
      </font>
      <fill>
        <patternFill patternType="solid">
          <fgColor rgb="FFF1EBEC"/>
          <bgColor rgb="FFF1EBEC"/>
        </patternFill>
      </fill>
      <border/>
    </dxf>
    <dxf>
      <font>
        <color rgb="FF041946"/>
      </font>
      <fill>
        <patternFill patternType="solid">
          <fgColor rgb="FFFFB5C1"/>
          <bgColor rgb="FFFFB5C1"/>
        </patternFill>
      </fill>
      <border/>
    </dxf>
    <dxf>
      <font>
        <color rgb="FFE84A1A"/>
      </font>
      <fill>
        <patternFill patternType="solid">
          <fgColor rgb="FFE6ED71"/>
          <bgColor rgb="FFE6ED71"/>
        </patternFill>
      </fill>
      <border/>
    </dxf>
    <dxf>
      <font>
        <color rgb="FFFF252B"/>
      </font>
      <fill>
        <patternFill patternType="solid">
          <fgColor rgb="FF1D1B1B"/>
          <bgColor rgb="FF1D1B1B"/>
        </patternFill>
      </fill>
      <border/>
    </dxf>
    <dxf>
      <font>
        <color rgb="FFA565BF"/>
      </font>
      <fill>
        <patternFill patternType="solid">
          <fgColor rgb="FFF8E8FF"/>
          <bgColor rgb="FFF8E8FF"/>
        </patternFill>
      </fill>
      <border/>
    </dxf>
    <dxf>
      <font>
        <color rgb="FFFFE168"/>
      </font>
      <fill>
        <patternFill patternType="solid">
          <fgColor rgb="FFAD7670"/>
          <bgColor rgb="FFAD7670"/>
        </patternFill>
      </fill>
      <border/>
    </dxf>
    <dxf>
      <font>
        <color rgb="FFFFFFFF"/>
      </font>
      <fill>
        <patternFill patternType="solid">
          <fgColor rgb="FF7798E7"/>
          <bgColor rgb="FF7798E7"/>
        </patternFill>
      </fill>
      <border/>
    </dxf>
    <dxf>
      <font>
        <color rgb="FFD73333"/>
      </font>
      <fill>
        <patternFill patternType="solid">
          <fgColor rgb="FFFFB048"/>
          <bgColor rgb="FFFFB048"/>
        </patternFill>
      </fill>
      <border/>
    </dxf>
    <dxf>
      <font>
        <color rgb="FF4E6B6D"/>
      </font>
      <fill>
        <patternFill patternType="solid">
          <fgColor rgb="FFC6B8C3"/>
          <bgColor rgb="FFC6B8C3"/>
        </patternFill>
      </fill>
      <border/>
    </dxf>
    <dxf>
      <font>
        <color rgb="FF771009"/>
      </font>
      <fill>
        <patternFill patternType="solid">
          <fgColor rgb="FFDA7186"/>
          <bgColor rgb="FFDA7186"/>
        </patternFill>
      </fill>
      <border/>
    </dxf>
    <dxf>
      <font>
        <color rgb="FF1D62EB"/>
      </font>
      <fill>
        <patternFill patternType="solid">
          <fgColor rgb="FFCDD2DD"/>
          <bgColor rgb="FFCDD2DD"/>
        </patternFill>
      </fill>
      <border/>
    </dxf>
    <dxf>
      <font>
        <color rgb="FF1D1A15"/>
      </font>
      <fill>
        <patternFill patternType="solid">
          <fgColor rgb="FFFEF8C1"/>
          <bgColor rgb="FFFEF8C1"/>
        </patternFill>
      </fill>
      <border/>
    </dxf>
    <dxf>
      <font>
        <color rgb="FFDFFF1D"/>
      </font>
      <fill>
        <patternFill patternType="solid">
          <fgColor rgb="FFB86AD5"/>
          <bgColor rgb="FFB86AD5"/>
        </patternFill>
      </fill>
      <border/>
    </dxf>
    <dxf>
      <font>
        <color rgb="FFA2497D"/>
      </font>
      <fill>
        <patternFill patternType="solid">
          <fgColor rgb="FFF4A7D3"/>
          <bgColor rgb="FFF4A7D3"/>
        </patternFill>
      </fill>
      <border/>
    </dxf>
    <dxf>
      <font>
        <color rgb="FF3097E9"/>
      </font>
      <fill>
        <patternFill patternType="solid">
          <fgColor rgb="FFCCEEF9"/>
          <bgColor rgb="FFCCEEF9"/>
        </patternFill>
      </fill>
      <border/>
    </dxf>
    <dxf>
      <font>
        <color rgb="FFFF6500"/>
      </font>
      <fill>
        <patternFill patternType="solid">
          <fgColor rgb="FFFFE5BD"/>
          <bgColor rgb="FFFFE5BD"/>
        </patternFill>
      </fill>
      <border/>
    </dxf>
    <dxf>
      <font>
        <color rgb="FF776068"/>
      </font>
      <fill>
        <patternFill patternType="solid">
          <fgColor rgb="FFE4D8D7"/>
          <bgColor rgb="FFE4D8D7"/>
        </patternFill>
      </fill>
      <border/>
    </dxf>
    <dxf>
      <font>
        <color rgb="FFF8ECCE"/>
      </font>
      <fill>
        <patternFill patternType="solid">
          <fgColor rgb="FFC61D34"/>
          <bgColor rgb="FFC61D34"/>
        </patternFill>
      </fill>
      <border/>
    </dxf>
    <dxf>
      <font>
        <color rgb="FF9B65D7"/>
      </font>
      <fill>
        <patternFill patternType="solid">
          <fgColor rgb="FF221932"/>
          <bgColor rgb="FF221932"/>
        </patternFill>
      </fill>
      <border/>
    </dxf>
    <dxf>
      <font>
        <color rgb="FF7D134C"/>
      </font>
      <fill>
        <patternFill patternType="solid">
          <fgColor rgb="FFF1A19F"/>
          <bgColor rgb="FFF1A19F"/>
        </patternFill>
      </fill>
      <border/>
    </dxf>
    <dxf>
      <font>
        <color rgb="FFAD5851"/>
      </font>
      <fill>
        <patternFill patternType="solid">
          <fgColor rgb="FFFCB4C8"/>
          <bgColor rgb="FFFCB4C8"/>
        </patternFill>
      </fill>
      <border/>
    </dxf>
    <dxf>
      <font>
        <color rgb="FFFDE4C6"/>
      </font>
      <fill>
        <patternFill patternType="solid">
          <fgColor rgb="FF599E98"/>
          <bgColor rgb="FF599E98"/>
        </patternFill>
      </fill>
      <border/>
    </dxf>
    <dxf>
      <font>
        <color rgb="FF87C9D6"/>
      </font>
      <fill>
        <patternFill patternType="solid">
          <fgColor rgb="FF233B72"/>
          <bgColor rgb="FF233B72"/>
        </patternFill>
      </fill>
      <border/>
    </dxf>
    <dxf>
      <font>
        <color rgb="FF6E4836"/>
      </font>
      <fill>
        <patternFill patternType="solid">
          <fgColor rgb="FFFFE2AD"/>
          <bgColor rgb="FFFFE2AD"/>
        </patternFill>
      </fill>
      <border/>
    </dxf>
    <dxf>
      <font>
        <color rgb="FFBB3531"/>
      </font>
      <fill>
        <patternFill patternType="solid">
          <fgColor rgb="FFF19B85"/>
          <bgColor rgb="FFF19B85"/>
        </patternFill>
      </fill>
      <border/>
    </dxf>
    <dxf>
      <font>
        <color rgb="FFF9F2CA"/>
      </font>
      <fill>
        <patternFill patternType="solid">
          <fgColor rgb="FF3C7C71"/>
          <bgColor rgb="FF3C7C71"/>
        </patternFill>
      </fill>
      <border/>
    </dxf>
    <dxf>
      <font>
        <color rgb="FF52599E"/>
      </font>
      <fill>
        <patternFill patternType="solid">
          <fgColor rgb="FFB6B9FF"/>
          <bgColor rgb="FFB6B9FF"/>
        </patternFill>
      </fill>
      <border/>
    </dxf>
    <dxf>
      <font>
        <color rgb="FFDF1A4F"/>
      </font>
      <fill>
        <patternFill patternType="solid">
          <fgColor rgb="FFCAC3C2"/>
          <bgColor rgb="FFCAC3C2"/>
        </patternFill>
      </fill>
      <border/>
    </dxf>
    <dxf>
      <font>
        <color rgb="FFFFF2D3"/>
      </font>
      <fill>
        <patternFill patternType="solid">
          <fgColor rgb="FFE77C0C"/>
          <bgColor rgb="FFE77C0C"/>
        </patternFill>
      </fill>
      <border/>
    </dxf>
    <dxf>
      <font>
        <color rgb="FF666666"/>
      </font>
      <fill>
        <patternFill patternType="solid">
          <fgColor rgb="FFB5EFFA"/>
          <bgColor rgb="FFB5EFFA"/>
        </patternFill>
      </fill>
      <border/>
    </dxf>
    <dxf>
      <font>
        <color rgb="FF35CACE"/>
      </font>
      <fill>
        <patternFill patternType="solid">
          <fgColor rgb="FF434343"/>
          <bgColor rgb="FF434343"/>
        </patternFill>
      </fill>
      <border/>
    </dxf>
    <dxf>
      <font>
        <color rgb="FF543D4F"/>
      </font>
      <fill>
        <patternFill patternType="solid">
          <fgColor rgb="FFF3719E"/>
          <bgColor rgb="FFF3719E"/>
        </patternFill>
      </fill>
      <border/>
    </dxf>
    <dxf>
      <font>
        <color rgb="FFF8F2E4"/>
      </font>
      <fill>
        <patternFill patternType="solid">
          <fgColor rgb="FFE38FA4"/>
          <bgColor rgb="FFE38FA4"/>
        </patternFill>
      </fill>
      <border/>
    </dxf>
    <dxf>
      <font>
        <color rgb="FFEFE9EB"/>
      </font>
      <fill>
        <patternFill patternType="solid">
          <fgColor rgb="FFEB0045"/>
          <bgColor rgb="FFEB0045"/>
        </patternFill>
      </fill>
      <border/>
    </dxf>
    <dxf>
      <font>
        <color rgb="FF000000"/>
      </font>
      <fill>
        <patternFill patternType="solid">
          <fgColor rgb="FF999999"/>
          <bgColor rgb="FF999999"/>
        </patternFill>
      </fill>
      <border/>
    </dxf>
    <dxf>
      <font>
        <color rgb="FFFFDA72"/>
      </font>
      <fill>
        <patternFill patternType="solid">
          <fgColor rgb="FF937DBD"/>
          <bgColor rgb="FF937DBD"/>
        </patternFill>
      </fill>
      <border/>
    </dxf>
    <dxf>
      <font>
        <color rgb="FFF7D075"/>
      </font>
      <fill>
        <patternFill patternType="solid">
          <fgColor rgb="FF9E7572"/>
          <bgColor rgb="FF9E7572"/>
        </patternFill>
      </fill>
      <border/>
    </dxf>
    <dxf>
      <font>
        <color rgb="FFFF2626"/>
      </font>
      <fill>
        <patternFill patternType="solid">
          <fgColor rgb="FFFDD337"/>
          <bgColor rgb="FFFDD337"/>
        </patternFill>
      </fill>
      <border/>
    </dxf>
    <dxf>
      <font>
        <color rgb="FF131C35"/>
      </font>
      <fill>
        <patternFill patternType="solid">
          <fgColor rgb="FFB5EC56"/>
          <bgColor rgb="FFB5EC56"/>
        </patternFill>
      </fill>
      <border/>
    </dxf>
    <dxf>
      <font>
        <color rgb="FF18539F"/>
      </font>
      <fill>
        <patternFill patternType="solid">
          <fgColor rgb="FFEFE2E9"/>
          <bgColor rgb="FFEFE2E9"/>
        </patternFill>
      </fill>
      <border/>
    </dxf>
    <dxf>
      <font>
        <color rgb="FF14617D"/>
      </font>
      <fill>
        <patternFill patternType="solid">
          <fgColor rgb="FF8EBADD"/>
          <bgColor rgb="FF8EBADD"/>
        </patternFill>
      </fill>
      <border/>
    </dxf>
    <dxf>
      <font>
        <color rgb="FFFBF3FF"/>
      </font>
      <fill>
        <patternFill patternType="solid">
          <fgColor rgb="FFEE1A0E"/>
          <bgColor rgb="FFEE1A0E"/>
        </patternFill>
      </fill>
      <border/>
    </dxf>
    <dxf>
      <font>
        <color rgb="FF9159D7"/>
      </font>
      <fill>
        <patternFill patternType="solid">
          <fgColor rgb="FFFBF3FF"/>
          <bgColor rgb="FFFBF3FF"/>
        </patternFill>
      </fill>
      <border/>
    </dxf>
    <dxf>
      <font>
        <color rgb="FF51433E"/>
      </font>
      <fill>
        <patternFill patternType="solid">
          <fgColor rgb="FFBFDD8D"/>
          <bgColor rgb="FFBFDD8D"/>
        </patternFill>
      </fill>
      <border/>
    </dxf>
    <dxf>
      <font>
        <color rgb="FFFFFFFF"/>
      </font>
      <fill>
        <patternFill patternType="solid">
          <fgColor rgb="FF000000"/>
          <bgColor rgb="FF000000"/>
        </patternFill>
      </fill>
      <border/>
    </dxf>
    <dxf>
      <font>
        <color rgb="FFF9D6E2"/>
      </font>
      <fill>
        <patternFill patternType="solid">
          <fgColor rgb="FF666666"/>
          <bgColor rgb="FF666666"/>
        </patternFill>
      </fill>
      <border/>
    </dxf>
    <dxf>
      <font>
        <color rgb="FF000000"/>
      </font>
      <fill>
        <patternFill patternType="solid">
          <fgColor rgb="FFFF8A65"/>
          <bgColor rgb="FFFF8A65"/>
        </patternFill>
      </fill>
      <border/>
    </dxf>
    <dxf>
      <font>
        <color rgb="FFEEA060"/>
      </font>
      <fill>
        <patternFill patternType="solid">
          <fgColor rgb="FF4C3F5A"/>
          <bgColor rgb="FF4C3F5A"/>
        </patternFill>
      </fill>
      <border/>
    </dxf>
    <dxf>
      <font>
        <color rgb="FFFAFBFB"/>
      </font>
      <fill>
        <patternFill patternType="solid">
          <fgColor rgb="FF32729C"/>
          <bgColor rgb="FF32729C"/>
        </patternFill>
      </fill>
      <border/>
    </dxf>
    <dxf>
      <font>
        <color rgb="FFFAF8FD"/>
      </font>
      <fill>
        <patternFill patternType="solid">
          <fgColor rgb="FFCD0A59"/>
          <bgColor rgb="FFCD0A59"/>
        </patternFill>
      </fill>
      <border/>
    </dxf>
    <dxf>
      <font>
        <color rgb="FFFFFFFF"/>
      </font>
      <fill>
        <patternFill patternType="solid">
          <fgColor rgb="FF5C607F"/>
          <bgColor rgb="FF5C607F"/>
        </patternFill>
      </fill>
      <border/>
    </dxf>
    <dxf>
      <font>
        <color rgb="FF4C423B"/>
      </font>
      <fill>
        <patternFill patternType="solid">
          <fgColor rgb="FFBE9B8B"/>
          <bgColor rgb="FFBE9B8B"/>
        </patternFill>
      </fill>
      <border/>
    </dxf>
    <dxf>
      <font>
        <color rgb="FFFFFFFF"/>
      </font>
      <fill>
        <patternFill patternType="solid">
          <fgColor rgb="FFEE1A0E"/>
          <bgColor rgb="FFEE1A0E"/>
        </patternFill>
      </fill>
      <border/>
    </dxf>
    <dxf>
      <font>
        <color rgb="FFA57EDE"/>
      </font>
      <fill>
        <patternFill patternType="solid">
          <fgColor rgb="FF1C1820"/>
          <bgColor rgb="FF1C1820"/>
        </patternFill>
      </fill>
      <border/>
    </dxf>
    <dxf>
      <font>
        <color rgb="FF4B43DF"/>
      </font>
      <fill>
        <patternFill patternType="solid">
          <fgColor rgb="FFCCC6DA"/>
          <bgColor rgb="FFCCC6DA"/>
        </patternFill>
      </fill>
      <border/>
    </dxf>
    <dxf>
      <font>
        <color rgb="FFFFFFFF"/>
      </font>
      <fill>
        <patternFill patternType="solid">
          <fgColor rgb="FF2233FB"/>
          <bgColor rgb="FF2233FB"/>
        </patternFill>
      </fill>
      <border/>
    </dxf>
    <dxf>
      <font>
        <color rgb="FF2F2B32"/>
      </font>
      <fill>
        <patternFill patternType="solid">
          <fgColor rgb="FF67B2FF"/>
          <bgColor rgb="FF67B2FF"/>
        </patternFill>
      </fill>
      <border/>
    </dxf>
    <dxf>
      <font>
        <color rgb="FF35303A"/>
      </font>
      <fill>
        <patternFill patternType="solid">
          <fgColor rgb="FFF7A6CA"/>
          <bgColor rgb="FFF7A6CA"/>
        </patternFill>
      </fill>
      <border/>
    </dxf>
    <dxf>
      <font>
        <color rgb="FF8AABFE"/>
      </font>
      <fill>
        <patternFill patternType="solid">
          <fgColor rgb="FF97303A"/>
          <bgColor rgb="FF97303A"/>
        </patternFill>
      </fill>
      <border/>
    </dxf>
    <dxf>
      <font>
        <color rgb="FF543538"/>
      </font>
      <fill>
        <patternFill patternType="solid">
          <fgColor rgb="FFFFB843"/>
          <bgColor rgb="FFFFB843"/>
        </patternFill>
      </fill>
      <border/>
    </dxf>
    <dxf>
      <font>
        <color rgb="FFC9EDD6"/>
      </font>
      <fill>
        <patternFill patternType="solid">
          <fgColor rgb="FF119A5C"/>
          <bgColor rgb="FF119A5C"/>
        </patternFill>
      </fill>
      <border/>
    </dxf>
    <dxf>
      <font>
        <color rgb="FF8D2D55"/>
      </font>
      <fill>
        <patternFill patternType="solid">
          <fgColor rgb="FFF087A9"/>
          <bgColor rgb="FFF087A9"/>
        </patternFill>
      </fill>
      <border/>
    </dxf>
    <dxf>
      <font>
        <color rgb="FFCC0000"/>
      </font>
      <fill>
        <patternFill patternType="solid">
          <fgColor rgb="FFEA9999"/>
          <bgColor rgb="FFEA9999"/>
        </patternFill>
      </fill>
      <border/>
    </dxf>
    <dxf>
      <font>
        <color rgb="FF38761D"/>
      </font>
      <fill>
        <patternFill patternType="solid">
          <fgColor rgb="FFB7E1CD"/>
          <bgColor rgb="FFB7E1CD"/>
        </patternFill>
      </fill>
      <border/>
    </dxf>
    <dxf>
      <font>
        <color rgb="FFBF9000"/>
      </font>
      <fill>
        <patternFill patternType="solid">
          <fgColor rgb="FFFFE599"/>
          <bgColor rgb="FFFFE599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1" Type="http://schemas.openxmlformats.org/officeDocument/2006/relationships/hyperlink" Target="https://www.youtube.com/channel/UCENwRMx5Yh42zWpzURebzTw" TargetMode="External"/><Relationship Id="rId10" Type="http://schemas.openxmlformats.org/officeDocument/2006/relationships/hyperlink" Target="https://www.youtube.com/channel/UCK9V2B22uJYu3N7eR_BT9QA" TargetMode="External"/><Relationship Id="rId13" Type="http://schemas.openxmlformats.org/officeDocument/2006/relationships/hyperlink" Target="https://www.youtube.com/@IchijouRirika" TargetMode="External"/><Relationship Id="rId12" Type="http://schemas.openxmlformats.org/officeDocument/2006/relationships/hyperlink" Target="https://www.youtube.com/@OtonoseKanade" TargetMode="External"/><Relationship Id="rId1" Type="http://schemas.openxmlformats.org/officeDocument/2006/relationships/hyperlink" Target="https://www.youtube.com/channel/UC0TXe_LYZ4scaW2XMyi5_kw" TargetMode="External"/><Relationship Id="rId2" Type="http://schemas.openxmlformats.org/officeDocument/2006/relationships/hyperlink" Target="https://www.youtube.com/channel/UCvzGlP9oQwU--Y0r9id_jnA" TargetMode="External"/><Relationship Id="rId3" Type="http://schemas.openxmlformats.org/officeDocument/2006/relationships/hyperlink" Target="https://www.youtube.com/channel/UCvaTdHTWBGv3MKj3KVqJVCw" TargetMode="External"/><Relationship Id="rId4" Type="http://schemas.openxmlformats.org/officeDocument/2006/relationships/hyperlink" Target="https://www.youtube.com/@usadapekora" TargetMode="External"/><Relationship Id="rId9" Type="http://schemas.openxmlformats.org/officeDocument/2006/relationships/hyperlink" Target="https://www.youtube.com/@MomosuzuNene" TargetMode="External"/><Relationship Id="rId15" Type="http://schemas.openxmlformats.org/officeDocument/2006/relationships/hyperlink" Target="https://www.youtube.com/@KikiraraVivi" TargetMode="External"/><Relationship Id="rId14" Type="http://schemas.openxmlformats.org/officeDocument/2006/relationships/hyperlink" Target="https://www.youtube.com/@MizumiyaSu" TargetMode="External"/><Relationship Id="rId16" Type="http://schemas.openxmlformats.org/officeDocument/2006/relationships/drawing" Target="../drawings/drawing1.xml"/><Relationship Id="rId5" Type="http://schemas.openxmlformats.org/officeDocument/2006/relationships/hyperlink" Target="https://www.youtube.com/channel/UCCzUftO8KOVkV4wQG1vkUvg" TargetMode="External"/><Relationship Id="rId6" Type="http://schemas.openxmlformats.org/officeDocument/2006/relationships/hyperlink" Target="https://www.youtube.com/channel/UCZlDXzGoo7d44bwdNObFacg" TargetMode="External"/><Relationship Id="rId7" Type="http://schemas.openxmlformats.org/officeDocument/2006/relationships/hyperlink" Target="https://www.youtube.com/channel/UCa9Y57gfeY0Zro_noHRVrnw" TargetMode="External"/><Relationship Id="rId8" Type="http://schemas.openxmlformats.org/officeDocument/2006/relationships/hyperlink" Target="https://www.youtube.com/channel/UCFKOVgVbGmX65RxO3EtH3iw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1" Type="http://schemas.openxmlformats.org/officeDocument/2006/relationships/hyperlink" Target="https://www.youtube.com/channel/UCK9V2B22uJYu3N7eR_BT9QA" TargetMode="External"/><Relationship Id="rId10" Type="http://schemas.openxmlformats.org/officeDocument/2006/relationships/hyperlink" Target="https://www.youtube.com/@MomosuzuNene" TargetMode="External"/><Relationship Id="rId13" Type="http://schemas.openxmlformats.org/officeDocument/2006/relationships/hyperlink" Target="https://www.youtube.com/@OtonoseKanade" TargetMode="External"/><Relationship Id="rId12" Type="http://schemas.openxmlformats.org/officeDocument/2006/relationships/hyperlink" Target="https://www.youtube.com/channel/UCENwRMx5Yh42zWpzURebzTw" TargetMode="External"/><Relationship Id="rId1" Type="http://schemas.openxmlformats.org/officeDocument/2006/relationships/comments" Target="../comments1.xml"/><Relationship Id="rId2" Type="http://schemas.openxmlformats.org/officeDocument/2006/relationships/hyperlink" Target="https://www.youtube.com/channel/UC0TXe_LYZ4scaW2XMyi5_kw" TargetMode="External"/><Relationship Id="rId3" Type="http://schemas.openxmlformats.org/officeDocument/2006/relationships/hyperlink" Target="https://www.youtube.com/channel/UCvzGlP9oQwU--Y0r9id_jnA" TargetMode="External"/><Relationship Id="rId4" Type="http://schemas.openxmlformats.org/officeDocument/2006/relationships/hyperlink" Target="https://www.youtube.com/channel/UCvaTdHTWBGv3MKj3KVqJVCw" TargetMode="External"/><Relationship Id="rId9" Type="http://schemas.openxmlformats.org/officeDocument/2006/relationships/hyperlink" Target="https://www.youtube.com/channel/UCFKOVgVbGmX65RxO3EtH3iw" TargetMode="External"/><Relationship Id="rId15" Type="http://schemas.openxmlformats.org/officeDocument/2006/relationships/hyperlink" Target="https://www.youtube.com/@MizumiyaSu" TargetMode="External"/><Relationship Id="rId14" Type="http://schemas.openxmlformats.org/officeDocument/2006/relationships/hyperlink" Target="https://www.youtube.com/@IchijouRirika" TargetMode="External"/><Relationship Id="rId17" Type="http://schemas.openxmlformats.org/officeDocument/2006/relationships/drawing" Target="../drawings/drawing3.xml"/><Relationship Id="rId16" Type="http://schemas.openxmlformats.org/officeDocument/2006/relationships/hyperlink" Target="https://www.youtube.com/@KikiraraVivi" TargetMode="External"/><Relationship Id="rId5" Type="http://schemas.openxmlformats.org/officeDocument/2006/relationships/hyperlink" Target="https://www.youtube.com/@usadapekora" TargetMode="External"/><Relationship Id="rId6" Type="http://schemas.openxmlformats.org/officeDocument/2006/relationships/hyperlink" Target="https://www.youtube.com/channel/UCCzUftO8KOVkV4wQG1vkUvg" TargetMode="External"/><Relationship Id="rId18" Type="http://schemas.openxmlformats.org/officeDocument/2006/relationships/vmlDrawing" Target="../drawings/vmlDrawing1.vml"/><Relationship Id="rId7" Type="http://schemas.openxmlformats.org/officeDocument/2006/relationships/hyperlink" Target="https://www.youtube.com/channel/UCZlDXzGoo7d44bwdNObFacg" TargetMode="External"/><Relationship Id="rId8" Type="http://schemas.openxmlformats.org/officeDocument/2006/relationships/hyperlink" Target="https://www.youtube.com/channel/UCa9Y57gfeY0Zro_noHRVrn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3.0" topLeftCell="D1" activePane="topRight" state="frozen"/>
      <selection activeCell="E2" sqref="E2" pane="topRight"/>
    </sheetView>
  </sheetViews>
  <sheetFormatPr customHeight="1" defaultColWidth="12.63" defaultRowHeight="15.75"/>
  <cols>
    <col customWidth="1" min="1" max="1" width="2.63"/>
    <col customWidth="1" min="2" max="2" width="21.75"/>
    <col customWidth="1" min="3" max="3" width="6.5"/>
    <col customWidth="1" min="4" max="11" width="4.75"/>
  </cols>
  <sheetData>
    <row r="1">
      <c r="A1" s="1" t="s">
        <v>0</v>
      </c>
      <c r="B1" s="2"/>
      <c r="C1" s="3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</row>
    <row r="2">
      <c r="A2" s="5"/>
      <c r="B2" s="6"/>
      <c r="C2" s="7"/>
      <c r="D2" s="8"/>
      <c r="E2" s="8"/>
      <c r="F2" s="8"/>
      <c r="G2" s="8"/>
      <c r="H2" s="8"/>
      <c r="I2" s="8"/>
      <c r="J2" s="8"/>
      <c r="K2" s="8"/>
    </row>
    <row r="3">
      <c r="A3" s="9"/>
      <c r="B3" s="10"/>
      <c r="C3" s="7"/>
      <c r="D3" s="8"/>
      <c r="E3" s="8"/>
      <c r="F3" s="8"/>
      <c r="G3" s="8"/>
      <c r="H3" s="8"/>
      <c r="I3" s="8"/>
      <c r="J3" s="8"/>
      <c r="K3" s="8"/>
    </row>
    <row r="4">
      <c r="A4" s="11" t="s">
        <v>10</v>
      </c>
      <c r="B4" s="12"/>
      <c r="C4" s="13"/>
      <c r="D4" s="14"/>
      <c r="E4" s="14"/>
      <c r="F4" s="14"/>
      <c r="G4" s="14"/>
      <c r="H4" s="14"/>
      <c r="I4" s="14"/>
      <c r="J4" s="14"/>
      <c r="K4" s="14"/>
    </row>
    <row r="5">
      <c r="A5" s="15" t="s">
        <v>11</v>
      </c>
      <c r="B5" s="16"/>
      <c r="C5" s="17" t="s">
        <v>12</v>
      </c>
      <c r="D5" s="18">
        <f t="shared" ref="D5:K5" si="1">SUM(D6:D20)</f>
        <v>56</v>
      </c>
      <c r="E5" s="18">
        <f t="shared" si="1"/>
        <v>61</v>
      </c>
      <c r="F5" s="18">
        <f t="shared" si="1"/>
        <v>35</v>
      </c>
      <c r="G5" s="18">
        <f t="shared" si="1"/>
        <v>14</v>
      </c>
      <c r="H5" s="18">
        <f t="shared" si="1"/>
        <v>10</v>
      </c>
      <c r="I5" s="18">
        <f t="shared" si="1"/>
        <v>13</v>
      </c>
      <c r="J5" s="18">
        <f t="shared" si="1"/>
        <v>62</v>
      </c>
      <c r="K5" s="18">
        <f t="shared" si="1"/>
        <v>35</v>
      </c>
    </row>
    <row r="6">
      <c r="A6" s="19" t="str">
        <f>IMAGE("https://api.mineatar.io/face/031fd87e-83a4-43ad-af62-71a3e4dc5b34?scale=12")</f>
        <v/>
      </c>
      <c r="B6" s="20" t="s">
        <v>13</v>
      </c>
      <c r="C6" s="21">
        <f t="shared" ref="C6:C20" si="2">SUM(D6:K6)</f>
        <v>3</v>
      </c>
      <c r="D6" s="22" t="str">
        <f>IF(COUNTIF('Extended Death Count'!C$3:C21, $B6)&gt;0,COUNTIF('Extended Death Count'!C$3:C21, $B6),IF(OR(COUNTIF('hololive POVs by Day'!C6,"-")&gt;0,COUNTIF('hololive POVs by Day'!C6,"✔")&gt;0),0,"-"))</f>
        <v>-</v>
      </c>
      <c r="E6" s="23">
        <f>IF(COUNTIF('Extended Death Count'!G$3:G21, $B6)&gt;0,COUNTIF('Extended Death Count'!G$3:G21, $B6),IF(OR(COUNTIF('hololive POVs by Day'!D6,"-")&gt;0,COUNTIF('hololive POVs by Day'!D6,"✔")&gt;0),0,"-"))</f>
        <v>3</v>
      </c>
      <c r="F6" s="23" t="str">
        <f>IF(COUNTIF('Extended Death Count'!K$3:K21, $B6)&gt;0,COUNTIF('Extended Death Count'!K$3:K21, $B6),IF(OR(COUNTIF('hololive POVs by Day'!E6,"-")&gt;0,COUNTIF('hololive POVs by Day'!E6,"✔")&gt;0),0,"-"))</f>
        <v>-</v>
      </c>
      <c r="G6" s="23" t="str">
        <f>IF(COUNTIF('Extended Death Count'!O$3:O21, $B6)&gt;0,COUNTIF('Extended Death Count'!O$3:O21, $B6),IF(OR(COUNTIF('hololive POVs by Day'!F6,"-")&gt;0,COUNTIF('hololive POVs by Day'!F6,"✔")&gt;0),0,"-"))</f>
        <v>-</v>
      </c>
      <c r="H6" s="23" t="str">
        <f>IF(COUNTIF('Extended Death Count'!S$3:S21, $B6)&gt;0,COUNTIF('Extended Death Count'!S$3:S21, $B6),IF(OR(COUNTIF('hololive POVs by Day'!G6,"-")&gt;0,COUNTIF('hololive POVs by Day'!G6,"✔")&gt;0),0,"-"))</f>
        <v>-</v>
      </c>
      <c r="I6" s="23" t="str">
        <f>IF(COUNTIF('Extended Death Count'!W$3:W21, $B6)&gt;0,COUNTIF('Extended Death Count'!W$3:W21, $B6),IF(OR(COUNTIF('hololive POVs by Day'!H6,"-")&gt;0,COUNTIF('hololive POVs by Day'!H6,"✔")&gt;0),0,"-"))</f>
        <v>-</v>
      </c>
      <c r="J6" s="23" t="str">
        <f>IF(COUNTIF('Extended Death Count'!AA$3:AA21, $B6)&gt;0,COUNTIF('Extended Death Count'!AA$3:AA21, $B6),IF(OR(COUNTIF('hololive POVs by Day'!I6,"-")&gt;0,COUNTIF('hololive POVs by Day'!I6,"✔")&gt;0),0,"-"))</f>
        <v>-</v>
      </c>
      <c r="K6" s="23">
        <f>IF(COUNTIF('Extended Death Count'!AE$3:AE21, $B6)&gt;0,COUNTIF('Extended Death Count'!AE$3:AE21, $B6),IF(OR(COUNTIF('hololive POVs by Day'!J6,"-")&gt;0,COUNTIF('hololive POVs by Day'!J6,"✔")&gt;0),0,"-"))</f>
        <v>0</v>
      </c>
    </row>
    <row r="7">
      <c r="A7" s="19" t="str">
        <f>image("https://api.mineatar.io/face/1f34ec92-bf0d-40b6-b5db-b8b97265d87d?scale=12")</f>
        <v/>
      </c>
      <c r="B7" s="24" t="s">
        <v>14</v>
      </c>
      <c r="C7" s="25">
        <f t="shared" si="2"/>
        <v>35</v>
      </c>
      <c r="D7" s="26">
        <f>IF(COUNTIF('Extended Death Count'!C$3:C21, $B7)&gt;0,COUNTIF('Extended Death Count'!C$3:C21, $B7),IF(OR(COUNTIF('hololive POVs by Day'!C7,"-")&gt;0,COUNTIF('hololive POVs by Day'!C7,"✔")&gt;0),0,"-"))</f>
        <v>4</v>
      </c>
      <c r="E7" s="27">
        <f>IF(COUNTIF('Extended Death Count'!G$3:G21, $B7)&gt;0,COUNTIF('Extended Death Count'!G$3:G21, $B7),IF(OR(COUNTIF('hololive POVs by Day'!D7,"-")&gt;0,COUNTIF('hololive POVs by Day'!D7,"✔")&gt;0),0,"-"))</f>
        <v>16</v>
      </c>
      <c r="F7" s="27">
        <f>IF(COUNTIF('Extended Death Count'!K$3:K21, $B7)&gt;0,COUNTIF('Extended Death Count'!K$3:K21, $B7),IF(OR(COUNTIF('hololive POVs by Day'!E7,"-")&gt;0,COUNTIF('hololive POVs by Day'!E7,"✔")&gt;0),0,"-"))</f>
        <v>2</v>
      </c>
      <c r="G7" s="27">
        <f>IF(COUNTIF('Extended Death Count'!O$3:O21, $B7)&gt;0,COUNTIF('Extended Death Count'!O$3:O21, $B7),IF(OR(COUNTIF('hololive POVs by Day'!F7,"-")&gt;0,COUNTIF('hololive POVs by Day'!F7,"✔")&gt;0),0,"-"))</f>
        <v>0</v>
      </c>
      <c r="H7" s="27">
        <f>IF(COUNTIF('Extended Death Count'!S$3:S21, $B7)&gt;0,COUNTIF('Extended Death Count'!S$3:S21, $B7),IF(OR(COUNTIF('hololive POVs by Day'!G7,"-")&gt;0,COUNTIF('hololive POVs by Day'!G7,"✔")&gt;0),0,"-"))</f>
        <v>0</v>
      </c>
      <c r="I7" s="27">
        <f>IF(COUNTIF('Extended Death Count'!W$3:W21, $B7)&gt;0,COUNTIF('Extended Death Count'!W$3:W21, $B7),IF(OR(COUNTIF('hololive POVs by Day'!H7,"-")&gt;0,COUNTIF('hololive POVs by Day'!H7,"✔")&gt;0),0,"-"))</f>
        <v>1</v>
      </c>
      <c r="J7" s="27">
        <f>IF(COUNTIF('Extended Death Count'!AA$3:AA21, $B7)&gt;0,COUNTIF('Extended Death Count'!AA$3:AA21, $B7),IF(OR(COUNTIF('hololive POVs by Day'!I7,"-")&gt;0,COUNTIF('hololive POVs by Day'!I7,"✔")&gt;0),0,"-"))</f>
        <v>11</v>
      </c>
      <c r="K7" s="27">
        <f>IF(COUNTIF('Extended Death Count'!AE$3:AE21, $B7)&gt;0,COUNTIF('Extended Death Count'!AE$3:AE21, $B7),IF(OR(COUNTIF('hololive POVs by Day'!J7,"-")&gt;0,COUNTIF('hololive POVs by Day'!J7,"✔")&gt;0),0,"-"))</f>
        <v>1</v>
      </c>
    </row>
    <row r="8">
      <c r="A8" s="19" t="str">
        <f>image("https://api.mineatar.io/face/967fe226-1187-4437-b462-1705c9b8d248?scale=12")</f>
        <v/>
      </c>
      <c r="B8" s="28" t="s">
        <v>15</v>
      </c>
      <c r="C8" s="29">
        <f t="shared" si="2"/>
        <v>15</v>
      </c>
      <c r="D8" s="30">
        <f>IF(COUNTIF('Extended Death Count'!C$3:C21, $B8)&gt;0,COUNTIF('Extended Death Count'!C$3:C21, $B8),IF(OR(COUNTIF('hololive POVs by Day'!C8,"-")&gt;0,COUNTIF('hololive POVs by Day'!C8,"✔")&gt;0),0,"-"))</f>
        <v>8</v>
      </c>
      <c r="E8" s="31">
        <f>IF(COUNTIF('Extended Death Count'!G$3:G21, $B8)&gt;0,COUNTIF('Extended Death Count'!G$3:G21, $B8),IF(OR(COUNTIF('hololive POVs by Day'!D8,"-")&gt;0,COUNTIF('hololive POVs by Day'!D8,"✔")&gt;0),0,"-"))</f>
        <v>0</v>
      </c>
      <c r="F8" s="31" t="str">
        <f>IF(COUNTIF('Extended Death Count'!K$3:K21, $B8)&gt;0,COUNTIF('Extended Death Count'!K$3:K21, $B8),IF(OR(COUNTIF('hololive POVs by Day'!E8,"-")&gt;0,COUNTIF('hololive POVs by Day'!E8,"✔")&gt;0),0,"-"))</f>
        <v>-</v>
      </c>
      <c r="G8" s="31">
        <f>IF(COUNTIF('Extended Death Count'!O$3:O21, $B8)&gt;0,COUNTIF('Extended Death Count'!O$3:O21, $B8),IF(OR(COUNTIF('hololive POVs by Day'!F8,"-")&gt;0,COUNTIF('hololive POVs by Day'!F8,"✔")&gt;0),0,"-"))</f>
        <v>3</v>
      </c>
      <c r="H8" s="31">
        <f>IF(COUNTIF('Extended Death Count'!S$3:S21, $B8)&gt;0,COUNTIF('Extended Death Count'!S$3:S21, $B8),IF(OR(COUNTIF('hololive POVs by Day'!G8,"-")&gt;0,COUNTIF('hololive POVs by Day'!G8,"✔")&gt;0),0,"-"))</f>
        <v>1</v>
      </c>
      <c r="I8" s="31">
        <f>IF(COUNTIF('Extended Death Count'!W$3:W21, $B8)&gt;0,COUNTIF('Extended Death Count'!W$3:W21, $B8),IF(OR(COUNTIF('hololive POVs by Day'!H8,"-")&gt;0,COUNTIF('hololive POVs by Day'!H8,"✔")&gt;0),0,"-"))</f>
        <v>1</v>
      </c>
      <c r="J8" s="31" t="str">
        <f>IF(COUNTIF('Extended Death Count'!AA$3:AA21, $B8)&gt;0,COUNTIF('Extended Death Count'!AA$3:AA21, $B8),IF(OR(COUNTIF('hololive POVs by Day'!I8,"-")&gt;0,COUNTIF('hololive POVs by Day'!I8,"✔")&gt;0),0,"-"))</f>
        <v>-</v>
      </c>
      <c r="K8" s="31">
        <f>IF(COUNTIF('Extended Death Count'!AE$3:AE21, $B8)&gt;0,COUNTIF('Extended Death Count'!AE$3:AE21, $B8),IF(OR(COUNTIF('hololive POVs by Day'!J8,"-")&gt;0,COUNTIF('hololive POVs by Day'!J8,"✔")&gt;0),0,"-"))</f>
        <v>2</v>
      </c>
    </row>
    <row r="9">
      <c r="A9" s="19" t="str">
        <f>image("https://api.mineatar.io/face/3e255051-4ea8-465a-af46-28f019ec7ebb?scale=12")</f>
        <v/>
      </c>
      <c r="B9" s="32" t="s">
        <v>16</v>
      </c>
      <c r="C9" s="33">
        <f t="shared" si="2"/>
        <v>54</v>
      </c>
      <c r="D9" s="34">
        <f>IF(COUNTIF('Extended Death Count'!C$3:C21, $B9)&gt;0,COUNTIF('Extended Death Count'!C$3:C21, $B9),IF(OR(COUNTIF('hololive POVs by Day'!C9,"-")&gt;0,COUNTIF('hololive POVs by Day'!C9,"✔")&gt;0),0,"-"))</f>
        <v>13</v>
      </c>
      <c r="E9" s="35">
        <f>IF(COUNTIF('Extended Death Count'!G$3:G21, $B9)&gt;0,COUNTIF('Extended Death Count'!G$3:G21, $B9),IF(OR(COUNTIF('hololive POVs by Day'!D9,"-")&gt;0,COUNTIF('hololive POVs by Day'!D9,"✔")&gt;0),0,"-"))</f>
        <v>3</v>
      </c>
      <c r="F9" s="35">
        <f>IF(COUNTIF('Extended Death Count'!K$3:K21, $B9)&gt;0,COUNTIF('Extended Death Count'!K$3:K21, $B9),IF(OR(COUNTIF('hololive POVs by Day'!E9,"-")&gt;0,COUNTIF('hololive POVs by Day'!E9,"✔")&gt;0),0,"-"))</f>
        <v>11</v>
      </c>
      <c r="G9" s="35">
        <f>IF(COUNTIF('Extended Death Count'!O$3:O21, $B9)&gt;0,COUNTIF('Extended Death Count'!O$3:O21, $B9),IF(OR(COUNTIF('hololive POVs by Day'!F9,"-")&gt;0,COUNTIF('hololive POVs by Day'!F9,"✔")&gt;0),0,"-"))</f>
        <v>1</v>
      </c>
      <c r="H9" s="35">
        <f>IF(COUNTIF('Extended Death Count'!S$3:S21, $B9)&gt;0,COUNTIF('Extended Death Count'!S$3:S21, $B9),IF(OR(COUNTIF('hololive POVs by Day'!G9,"-")&gt;0,COUNTIF('hololive POVs by Day'!G9,"✔")&gt;0),0,"-"))</f>
        <v>3</v>
      </c>
      <c r="I9" s="35">
        <f>IF(COUNTIF('Extended Death Count'!W$3:W21, $B9)&gt;0,COUNTIF('Extended Death Count'!W$3:W21, $B9),IF(OR(COUNTIF('hololive POVs by Day'!H9,"-")&gt;0,COUNTIF('hololive POVs by Day'!H9,"✔")&gt;0),0,"-"))</f>
        <v>3</v>
      </c>
      <c r="J9" s="35">
        <f>IF(COUNTIF('Extended Death Count'!AA$3:AA21, $B9)&gt;0,COUNTIF('Extended Death Count'!AA$3:AA21, $B9),IF(OR(COUNTIF('hololive POVs by Day'!I9,"-")&gt;0,COUNTIF('hololive POVs by Day'!I9,"✔")&gt;0),0,"-"))</f>
        <v>18</v>
      </c>
      <c r="K9" s="35">
        <f>IF(COUNTIF('Extended Death Count'!AE$3:AE21, $B9)&gt;0,COUNTIF('Extended Death Count'!AE$3:AE21, $B9),IF(OR(COUNTIF('hololive POVs by Day'!J9,"-")&gt;0,COUNTIF('hololive POVs by Day'!J9,"✔")&gt;0),0,"-"))</f>
        <v>2</v>
      </c>
    </row>
    <row r="10">
      <c r="A10" s="19" t="str">
        <f>image("https://api.mineatar.io/face/d604942f-2b4b-4452-a8da-3dbf83e235c3?scale=12")</f>
        <v/>
      </c>
      <c r="B10" s="36" t="s">
        <v>17</v>
      </c>
      <c r="C10" s="37">
        <f t="shared" si="2"/>
        <v>11</v>
      </c>
      <c r="D10" s="38" t="str">
        <f>IF(COUNTIF('Extended Death Count'!C$3:C21, $B10)&gt;0,COUNTIF('Extended Death Count'!C$3:C21, $B10),IF(OR(COUNTIF('hololive POVs by Day'!C10,"-")&gt;0,COUNTIF('hololive POVs by Day'!C10,"✔")&gt;0),0,"-"))</f>
        <v>-</v>
      </c>
      <c r="E10" s="39" t="str">
        <f>IF(COUNTIF('Extended Death Count'!G$3:G21, $B10)&gt;0,COUNTIF('Extended Death Count'!G$3:G21, $B10),IF(OR(COUNTIF('hololive POVs by Day'!D10,"-")&gt;0,COUNTIF('hololive POVs by Day'!D10,"✔")&gt;0),0,"-"))</f>
        <v>-</v>
      </c>
      <c r="F10" s="39" t="str">
        <f>IF(COUNTIF('Extended Death Count'!K$3:K21, $B10)&gt;0,COUNTIF('Extended Death Count'!K$3:K21, $B10),IF(OR(COUNTIF('hololive POVs by Day'!E10,"-")&gt;0,COUNTIF('hololive POVs by Day'!E10,"✔")&gt;0),0,"-"))</f>
        <v>-</v>
      </c>
      <c r="G10" s="39">
        <f>IF(COUNTIF('Extended Death Count'!O$3:O21, $B10)&gt;0,COUNTIF('Extended Death Count'!O$3:O21, $B10),IF(OR(COUNTIF('hololive POVs by Day'!F10,"-")&gt;0,COUNTIF('hololive POVs by Day'!F10,"✔")&gt;0),0,"-"))</f>
        <v>0</v>
      </c>
      <c r="H10" s="39" t="str">
        <f>IF(COUNTIF('Extended Death Count'!S$3:S21, $B10)&gt;0,COUNTIF('Extended Death Count'!S$3:S21, $B10),IF(OR(COUNTIF('hololive POVs by Day'!G10,"-")&gt;0,COUNTIF('hololive POVs by Day'!G10,"✔")&gt;0),0,"-"))</f>
        <v>-</v>
      </c>
      <c r="I10" s="39" t="str">
        <f>IF(COUNTIF('Extended Death Count'!W$3:W21, $B10)&gt;0,COUNTIF('Extended Death Count'!W$3:W21, $B10),IF(OR(COUNTIF('hololive POVs by Day'!H10,"-")&gt;0,COUNTIF('hololive POVs by Day'!H10,"✔")&gt;0),0,"-"))</f>
        <v>-</v>
      </c>
      <c r="J10" s="39">
        <f>IF(COUNTIF('Extended Death Count'!AA$3:AA21, $B10)&gt;0,COUNTIF('Extended Death Count'!AA$3:AA21, $B10),IF(OR(COUNTIF('hololive POVs by Day'!I10,"-")&gt;0,COUNTIF('hololive POVs by Day'!I10,"✔")&gt;0),0,"-"))</f>
        <v>11</v>
      </c>
      <c r="K10" s="39">
        <f>IF(COUNTIF('Extended Death Count'!AE$3:AE21, $B10)&gt;0,COUNTIF('Extended Death Count'!AE$3:AE21, $B10),IF(OR(COUNTIF('hololive POVs by Day'!J10,"-")&gt;0,COUNTIF('hololive POVs by Day'!J10,"✔")&gt;0),0,"-"))</f>
        <v>0</v>
      </c>
    </row>
    <row r="11">
      <c r="A11" s="19" t="str">
        <f>IMAGE("https://api.mineatar.io/face/7ec7cca2-6085-4eed-89c6-3c0ef6eef5ee?scale=12")</f>
        <v/>
      </c>
      <c r="B11" s="40" t="s">
        <v>18</v>
      </c>
      <c r="C11" s="41">
        <f t="shared" si="2"/>
        <v>12</v>
      </c>
      <c r="D11" s="42">
        <f>IF(COUNTIF('Extended Death Count'!C$3:C21, $B11)&gt;0,COUNTIF('Extended Death Count'!C$3:C21, $B11),IF(OR(COUNTIF('hololive POVs by Day'!C11,"-")&gt;0,COUNTIF('hololive POVs by Day'!C11,"✔")&gt;0),0,"-"))</f>
        <v>5</v>
      </c>
      <c r="E11" s="43">
        <f>IF(COUNTIF('Extended Death Count'!G$3:G21, $B11)&gt;0,COUNTIF('Extended Death Count'!G$3:G21, $B11),IF(OR(COUNTIF('hololive POVs by Day'!D11,"-")&gt;0,COUNTIF('hololive POVs by Day'!D11,"✔")&gt;0),0,"-"))</f>
        <v>3</v>
      </c>
      <c r="F11" s="43" t="str">
        <f>IF(COUNTIF('Extended Death Count'!K$3:K21, $B11)&gt;0,COUNTIF('Extended Death Count'!K$3:K21, $B11),IF(OR(COUNTIF('hololive POVs by Day'!E11,"-")&gt;0,COUNTIF('hololive POVs by Day'!E11,"✔")&gt;0),0,"-"))</f>
        <v>-</v>
      </c>
      <c r="G11" s="43" t="str">
        <f>IF(COUNTIF('Extended Death Count'!O$3:O21, $B11)&gt;0,COUNTIF('Extended Death Count'!O$3:O21, $B11),IF(OR(COUNTIF('hololive POVs by Day'!F11,"-")&gt;0,COUNTIF('hololive POVs by Day'!F11,"✔")&gt;0),0,"-"))</f>
        <v>-</v>
      </c>
      <c r="H11" s="43" t="str">
        <f>IF(COUNTIF('Extended Death Count'!S$3:S21, $B11)&gt;0,COUNTIF('Extended Death Count'!S$3:S21, $B11),IF(OR(COUNTIF('hololive POVs by Day'!G11,"-")&gt;0,COUNTIF('hololive POVs by Day'!G11,"✔")&gt;0),0,"-"))</f>
        <v>-</v>
      </c>
      <c r="I11" s="43" t="str">
        <f>IF(COUNTIF('Extended Death Count'!W$3:W21, $B11)&gt;0,COUNTIF('Extended Death Count'!W$3:W21, $B11),IF(OR(COUNTIF('hololive POVs by Day'!H11,"-")&gt;0,COUNTIF('hololive POVs by Day'!H11,"✔")&gt;0),0,"-"))</f>
        <v>-</v>
      </c>
      <c r="J11" s="43" t="str">
        <f>IF(COUNTIF('Extended Death Count'!AA$3:AA21, $B11)&gt;0,COUNTIF('Extended Death Count'!AA$3:AA21, $B11),IF(OR(COUNTIF('hololive POVs by Day'!I11,"-")&gt;0,COUNTIF('hololive POVs by Day'!I11,"✔")&gt;0),0,"-"))</f>
        <v>-</v>
      </c>
      <c r="K11" s="43">
        <f>IF(COUNTIF('Extended Death Count'!AE$3:AE21, $B11)&gt;0,COUNTIF('Extended Death Count'!AE$3:AE21, $B11),IF(OR(COUNTIF('hololive POVs by Day'!J11,"-")&gt;0,COUNTIF('hololive POVs by Day'!J11,"✔")&gt;0),0,"-"))</f>
        <v>4</v>
      </c>
    </row>
    <row r="12">
      <c r="A12" s="44" t="str">
        <f>image("https://api.mineatar.io/face/7624f07c54534c6c88c1f85316bd9e01?scale=32")</f>
        <v/>
      </c>
      <c r="B12" s="45" t="s">
        <v>19</v>
      </c>
      <c r="C12" s="46">
        <f t="shared" si="2"/>
        <v>10</v>
      </c>
      <c r="D12" s="47" t="str">
        <f>IF(COUNTIF('Extended Death Count'!C$3:C21, $B12)&gt;0,COUNTIF('Extended Death Count'!C$3:C21, $B12),IF(OR(COUNTIF('hololive POVs by Day'!C12,"-")&gt;0,COUNTIF('hololive POVs by Day'!C12,"✔")&gt;0),0,"-"))</f>
        <v>-</v>
      </c>
      <c r="E12" s="48">
        <f>IF(COUNTIF('Extended Death Count'!G$3:G21, $B12)&gt;0,COUNTIF('Extended Death Count'!G$3:G21, $B12),IF(OR(COUNTIF('hololive POVs by Day'!D12,"-")&gt;0,COUNTIF('hololive POVs by Day'!D12,"✔")&gt;0),0,"-"))</f>
        <v>6</v>
      </c>
      <c r="F12" s="48" t="str">
        <f>IF(COUNTIF('Extended Death Count'!K$3:K21, $B12)&gt;0,COUNTIF('Extended Death Count'!K$3:K21, $B12),IF(OR(COUNTIF('hololive POVs by Day'!E12,"-")&gt;0,COUNTIF('hololive POVs by Day'!E12,"✔")&gt;0),0,"-"))</f>
        <v>-</v>
      </c>
      <c r="G12" s="48" t="str">
        <f>IF(COUNTIF('Extended Death Count'!O$3:O21, $B12)&gt;0,COUNTIF('Extended Death Count'!O$3:O21, $B12),IF(OR(COUNTIF('hololive POVs by Day'!F12,"-")&gt;0,COUNTIF('hololive POVs by Day'!F12,"✔")&gt;0),0,"-"))</f>
        <v>-</v>
      </c>
      <c r="H12" s="48" t="str">
        <f>IF(COUNTIF('Extended Death Count'!S$3:S21, $B12)&gt;0,COUNTIF('Extended Death Count'!S$3:S21, $B12),IF(OR(COUNTIF('hololive POVs by Day'!G12,"-")&gt;0,COUNTIF('hololive POVs by Day'!G12,"✔")&gt;0),0,"-"))</f>
        <v>-</v>
      </c>
      <c r="I12" s="48">
        <f>IF(COUNTIF('Extended Death Count'!W$3:W21, $B12)&gt;0,COUNTIF('Extended Death Count'!W$3:W21, $B12),IF(OR(COUNTIF('hololive POVs by Day'!H12,"-")&gt;0,COUNTIF('hololive POVs by Day'!H12,"✔")&gt;0),0,"-"))</f>
        <v>1</v>
      </c>
      <c r="J12" s="48" t="str">
        <f>IF(COUNTIF('Extended Death Count'!AA$3:AA21, $B12)&gt;0,COUNTIF('Extended Death Count'!AA$3:AA21, $B12),IF(OR(COUNTIF('hololive POVs by Day'!I12,"-")&gt;0,COUNTIF('hololive POVs by Day'!I12,"✔")&gt;0),0,"-"))</f>
        <v>-</v>
      </c>
      <c r="K12" s="48">
        <f>IF(COUNTIF('Extended Death Count'!AE$3:AE21, $B12)&gt;0,COUNTIF('Extended Death Count'!AE$3:AE21, $B12),IF(OR(COUNTIF('hololive POVs by Day'!J12,"-")&gt;0,COUNTIF('hololive POVs by Day'!J12,"✔")&gt;0),0,"-"))</f>
        <v>3</v>
      </c>
    </row>
    <row r="13">
      <c r="A13" s="44" t="str">
        <f>image("https://api.mineatar.io/face/23c163a1-e2c4-4790-a9ee-799e79a3cb56?scale=12")</f>
        <v/>
      </c>
      <c r="B13" s="49" t="s">
        <v>20</v>
      </c>
      <c r="C13" s="50">
        <f t="shared" si="2"/>
        <v>14</v>
      </c>
      <c r="D13" s="51">
        <f>IF(COUNTIF('Extended Death Count'!C$3:C21, $B13)&gt;0,COUNTIF('Extended Death Count'!C$3:C21, $B13),IF(OR(COUNTIF('hololive POVs by Day'!C13,"-")&gt;0,COUNTIF('hololive POVs by Day'!C13,"✔")&gt;0),0,"-"))</f>
        <v>8</v>
      </c>
      <c r="E13" s="52">
        <f>IF(COUNTIF('Extended Death Count'!G$3:G21, $B13)&gt;0,COUNTIF('Extended Death Count'!G$3:G21, $B13),IF(OR(COUNTIF('hololive POVs by Day'!D13,"-")&gt;0,COUNTIF('hololive POVs by Day'!D13,"✔")&gt;0),0,"-"))</f>
        <v>1</v>
      </c>
      <c r="F13" s="52" t="str">
        <f>IF(COUNTIF('Extended Death Count'!K$3:K21, $B13)&gt;0,COUNTIF('Extended Death Count'!K$3:K21, $B13),IF(OR(COUNTIF('hololive POVs by Day'!E13,"-")&gt;0,COUNTIF('hololive POVs by Day'!E13,"✔")&gt;0),0,"-"))</f>
        <v>-</v>
      </c>
      <c r="G13" s="52" t="str">
        <f>IF(COUNTIF('Extended Death Count'!O$3:O21, $B13)&gt;0,COUNTIF('Extended Death Count'!O$3:O21, $B13),IF(OR(COUNTIF('hololive POVs by Day'!F13,"-")&gt;0,COUNTIF('hololive POVs by Day'!F13,"✔")&gt;0),0,"-"))</f>
        <v>-</v>
      </c>
      <c r="H13" s="52" t="str">
        <f>IF(COUNTIF('Extended Death Count'!S$3:S21, $B13)&gt;0,COUNTIF('Extended Death Count'!S$3:S21, $B13),IF(OR(COUNTIF('hololive POVs by Day'!G13,"-")&gt;0,COUNTIF('hololive POVs by Day'!G13,"✔")&gt;0),0,"-"))</f>
        <v>-</v>
      </c>
      <c r="I13" s="52">
        <f>IF(COUNTIF('Extended Death Count'!W$3:W21, $B13)&gt;0,COUNTIF('Extended Death Count'!W$3:W21, $B13),IF(OR(COUNTIF('hololive POVs by Day'!H13,"-")&gt;0,COUNTIF('hololive POVs by Day'!H13,"✔")&gt;0),0,"-"))</f>
        <v>1</v>
      </c>
      <c r="J13" s="52">
        <f>IF(COUNTIF('Extended Death Count'!AA$3:AA21, $B13)&gt;0,COUNTIF('Extended Death Count'!AA$3:AA21, $B13),IF(OR(COUNTIF('hololive POVs by Day'!I13,"-")&gt;0,COUNTIF('hololive POVs by Day'!I13,"✔")&gt;0),0,"-"))</f>
        <v>2</v>
      </c>
      <c r="K13" s="52">
        <f>IF(COUNTIF('Extended Death Count'!AE$3:AE21, $B13)&gt;0,COUNTIF('Extended Death Count'!AE$3:AE21, $B13),IF(OR(COUNTIF('hololive POVs by Day'!J13,"-")&gt;0,COUNTIF('hololive POVs by Day'!J13,"✔")&gt;0),0,"-"))</f>
        <v>2</v>
      </c>
    </row>
    <row r="14">
      <c r="A14" s="44" t="str">
        <f>image("https://api.mineatar.io/face/6252f15b-4e9f-4207-9ab9-793dee88436c?scale=12")</f>
        <v/>
      </c>
      <c r="B14" s="53" t="s">
        <v>21</v>
      </c>
      <c r="C14" s="54">
        <f t="shared" si="2"/>
        <v>14</v>
      </c>
      <c r="D14" s="55" t="str">
        <f>IF(COUNTIF('Extended Death Count'!C$3:C21, $B14)&gt;0,COUNTIF('Extended Death Count'!C$3:C21, $B14),IF(OR(COUNTIF('hololive POVs by Day'!C14,"-")&gt;0,COUNTIF('hololive POVs by Day'!C14,"✔")&gt;0),0,"-"))</f>
        <v>-</v>
      </c>
      <c r="E14" s="56">
        <f>IF(COUNTIF('Extended Death Count'!G$3:G21, $B14)&gt;0,COUNTIF('Extended Death Count'!G$3:G21, $B14),IF(OR(COUNTIF('hololive POVs by Day'!D14,"-")&gt;0,COUNTIF('hololive POVs by Day'!D14,"✔")&gt;0),0,"-"))</f>
        <v>9</v>
      </c>
      <c r="F14" s="56" t="str">
        <f>IF(COUNTIF('Extended Death Count'!K$3:K21, $B14)&gt;0,COUNTIF('Extended Death Count'!K$3:K21, $B14),IF(OR(COUNTIF('hololive POVs by Day'!E14,"-")&gt;0,COUNTIF('hololive POVs by Day'!E14,"✔")&gt;0),0,"-"))</f>
        <v>-</v>
      </c>
      <c r="G14" s="56" t="str">
        <f>IF(COUNTIF('Extended Death Count'!O$3:O21, $B14)&gt;0,COUNTIF('Extended Death Count'!O$3:O21, $B14),IF(OR(COUNTIF('hololive POVs by Day'!F14,"-")&gt;0,COUNTIF('hololive POVs by Day'!F14,"✔")&gt;0),0,"-"))</f>
        <v>-</v>
      </c>
      <c r="H14" s="56" t="str">
        <f>IF(COUNTIF('Extended Death Count'!S$3:S21, $B14)&gt;0,COUNTIF('Extended Death Count'!S$3:S21, $B14),IF(OR(COUNTIF('hololive POVs by Day'!G14,"-")&gt;0,COUNTIF('hololive POVs by Day'!G14,"✔")&gt;0),0,"-"))</f>
        <v>-</v>
      </c>
      <c r="I14" s="56">
        <f>IF(COUNTIF('Extended Death Count'!W$3:W21, $B14)&gt;0,COUNTIF('Extended Death Count'!W$3:W21, $B14),IF(OR(COUNTIF('hololive POVs by Day'!H14,"-")&gt;0,COUNTIF('hololive POVs by Day'!H14,"✔")&gt;0),0,"-"))</f>
        <v>1</v>
      </c>
      <c r="J14" s="56">
        <f>IF(COUNTIF('Extended Death Count'!AA$3:AA21, $B14)&gt;0,COUNTIF('Extended Death Count'!AA$3:AA21, $B14),IF(OR(COUNTIF('hololive POVs by Day'!I14,"-")&gt;0,COUNTIF('hololive POVs by Day'!I14,"✔")&gt;0),0,"-"))</f>
        <v>4</v>
      </c>
      <c r="K14" s="56" t="str">
        <f>IF(COUNTIF('Extended Death Count'!AE$3:AE21, $B14)&gt;0,COUNTIF('Extended Death Count'!AE$3:AE21, $B14),IF(OR(COUNTIF('hololive POVs by Day'!J14,"-")&gt;0,COUNTIF('hololive POVs by Day'!J14,"✔")&gt;0),0,"-"))</f>
        <v>-</v>
      </c>
    </row>
    <row r="15">
      <c r="A15" s="57" t="str">
        <f>image("https://api.mineatar.io/face/6148828d-ed79-488e-b82e-55831c709724?scale=12")</f>
        <v/>
      </c>
      <c r="B15" s="58" t="s">
        <v>22</v>
      </c>
      <c r="C15" s="59">
        <f t="shared" si="2"/>
        <v>13</v>
      </c>
      <c r="D15" s="60" t="str">
        <f>IF(COUNTIF('Extended Death Count'!C$3:C21, $B15)&gt;0,COUNTIF('Extended Death Count'!C$3:C21, $B15),IF(OR(COUNTIF('hololive POVs by Day'!C15,"-")&gt;0,COUNTIF('hololive POVs by Day'!C15,"✔")&gt;0),0,"-"))</f>
        <v>-</v>
      </c>
      <c r="E15" s="61" t="str">
        <f>IF(COUNTIF('Extended Death Count'!G$3:G21, $B15)&gt;0,COUNTIF('Extended Death Count'!G$3:G21, $B15),IF(OR(COUNTIF('hololive POVs by Day'!D15,"-")&gt;0,COUNTIF('hololive POVs by Day'!D15,"✔")&gt;0),0,"-"))</f>
        <v>-</v>
      </c>
      <c r="F15" s="61" t="str">
        <f>IF(COUNTIF('Extended Death Count'!K$3:K21, $B15)&gt;0,COUNTIF('Extended Death Count'!K$3:K21, $B15),IF(OR(COUNTIF('hololive POVs by Day'!E15,"-")&gt;0,COUNTIF('hololive POVs by Day'!E15,"✔")&gt;0),0,"-"))</f>
        <v>-</v>
      </c>
      <c r="G15" s="61" t="str">
        <f>IF(COUNTIF('Extended Death Count'!O$3:O21, $B15)&gt;0,COUNTIF('Extended Death Count'!O$3:O21, $B15),IF(OR(COUNTIF('hololive POVs by Day'!F15,"-")&gt;0,COUNTIF('hololive POVs by Day'!F15,"✔")&gt;0),0,"-"))</f>
        <v>-</v>
      </c>
      <c r="H15" s="61">
        <f>IF(COUNTIF('Extended Death Count'!S$3:S21, $B15)&gt;0,COUNTIF('Extended Death Count'!S$3:S21, $B15),IF(OR(COUNTIF('hololive POVs by Day'!G15,"-")&gt;0,COUNTIF('hololive POVs by Day'!G15,"✔")&gt;0),0,"-"))</f>
        <v>2</v>
      </c>
      <c r="I15" s="61">
        <f>IF(COUNTIF('Extended Death Count'!W$3:W21, $B15)&gt;0,COUNTIF('Extended Death Count'!W$3:W21, $B15),IF(OR(COUNTIF('hololive POVs by Day'!H15,"-")&gt;0,COUNTIF('hololive POVs by Day'!H15,"✔")&gt;0),0,"-"))</f>
        <v>1</v>
      </c>
      <c r="J15" s="61">
        <f>IF(COUNTIF('Extended Death Count'!AA$3:AA21, $B15)&gt;0,COUNTIF('Extended Death Count'!AA$3:AA21, $B15),IF(OR(COUNTIF('hololive POVs by Day'!I15,"-")&gt;0,COUNTIF('hololive POVs by Day'!I15,"✔")&gt;0),0,"-"))</f>
        <v>1</v>
      </c>
      <c r="K15" s="61">
        <f>IF(COUNTIF('Extended Death Count'!AE$3:AE21, $B15)&gt;0,COUNTIF('Extended Death Count'!AE$3:AE21, $B15),IF(OR(COUNTIF('hololive POVs by Day'!J15,"-")&gt;0,COUNTIF('hololive POVs by Day'!J15,"✔")&gt;0),0,"-"))</f>
        <v>9</v>
      </c>
    </row>
    <row r="16">
      <c r="A16" s="62" t="str">
        <f>image("https://api.mineatar.io/face/b41a895c-cc9f-45c7-9295-5ee7f405cb96?scale=12")</f>
        <v/>
      </c>
      <c r="B16" s="63" t="s">
        <v>23</v>
      </c>
      <c r="C16" s="64">
        <f t="shared" si="2"/>
        <v>1</v>
      </c>
      <c r="D16" s="65" t="str">
        <f>IF(COUNTIF('Extended Death Count'!C$3:C21, $B16)&gt;0,COUNTIF('Extended Death Count'!C$3:C21, $B16),IF(OR(COUNTIF('hololive POVs by Day'!C16,"-")&gt;0,COUNTIF('hololive POVs by Day'!C16,"✔")&gt;0),0,"-"))</f>
        <v>-</v>
      </c>
      <c r="E16" s="66" t="str">
        <f>IF(COUNTIF('Extended Death Count'!G$3:G21, $B16)&gt;0,COUNTIF('Extended Death Count'!G$3:G21, $B16),IF(OR(COUNTIF('hololive POVs by Day'!D16,"-")&gt;0,COUNTIF('hololive POVs by Day'!D16,"✔")&gt;0),0,"-"))</f>
        <v>-</v>
      </c>
      <c r="F16" s="66" t="str">
        <f>IF(COUNTIF('Extended Death Count'!K$3:K21, $B16)&gt;0,COUNTIF('Extended Death Count'!K$3:K21, $B16),IF(OR(COUNTIF('hololive POVs by Day'!E16,"-")&gt;0,COUNTIF('hololive POVs by Day'!E16,"✔")&gt;0),0,"-"))</f>
        <v>-</v>
      </c>
      <c r="G16" s="66" t="str">
        <f>IF(COUNTIF('Extended Death Count'!O$3:O21, $B16)&gt;0,COUNTIF('Extended Death Count'!O$3:O21, $B16),IF(OR(COUNTIF('hololive POVs by Day'!F16,"-")&gt;0,COUNTIF('hololive POVs by Day'!F16,"✔")&gt;0),0,"-"))</f>
        <v>-</v>
      </c>
      <c r="H16" s="66">
        <f>IF(COUNTIF('Extended Death Count'!S$3:S21, $B16)&gt;0,COUNTIF('Extended Death Count'!S$3:S21, $B16),IF(OR(COUNTIF('hololive POVs by Day'!G16,"-")&gt;0,COUNTIF('hololive POVs by Day'!G16,"✔")&gt;0),0,"-"))</f>
        <v>1</v>
      </c>
      <c r="I16" s="66">
        <f>IF(COUNTIF('Extended Death Count'!W$3:W21, $B16)&gt;0,COUNTIF('Extended Death Count'!W$3:W21, $B16),IF(OR(COUNTIF('hololive POVs by Day'!H16,"-")&gt;0,COUNTIF('hololive POVs by Day'!H16,"✔")&gt;0),0,"-"))</f>
        <v>0</v>
      </c>
      <c r="J16" s="66" t="str">
        <f>IF(COUNTIF('Extended Death Count'!AA$3:AA21, $B16)&gt;0,COUNTIF('Extended Death Count'!AA$3:AA21, $B16),IF(OR(COUNTIF('hololive POVs by Day'!I16,"-")&gt;0,COUNTIF('hololive POVs by Day'!I16,"✔")&gt;0),0,"-"))</f>
        <v>-</v>
      </c>
      <c r="K16" s="66" t="str">
        <f>IF(COUNTIF('Extended Death Count'!AE$3:AE21, $B16)&gt;0,COUNTIF('Extended Death Count'!AE$3:AE21, $B16),IF(OR(COUNTIF('hololive POVs by Day'!J16,"-")&gt;0,COUNTIF('hololive POVs by Day'!J16,"✔")&gt;0),0,"-"))</f>
        <v>-</v>
      </c>
    </row>
    <row r="17">
      <c r="A17" s="67" t="str">
        <f>IMAGE("https://api.mineatar.io/face/aff526b0-d9e4-417b-ad8e-d172bae1ba97?scale=12")</f>
        <v/>
      </c>
      <c r="B17" s="68" t="s">
        <v>24</v>
      </c>
      <c r="C17" s="69">
        <f t="shared" si="2"/>
        <v>22</v>
      </c>
      <c r="D17" s="70" t="str">
        <f>IF(COUNTIF('Extended Death Count'!C$3:C21, $B17)&gt;0,COUNTIF('Extended Death Count'!C$3:C21, $B17),IF(OR(COUNTIF('hololive POVs by Day'!C17,"-")&gt;0,COUNTIF('hololive POVs by Day'!C17,"✔")&gt;0),0,"-"))</f>
        <v>-</v>
      </c>
      <c r="E17" s="71">
        <f>IF(COUNTIF('Extended Death Count'!G$3:G21, $B17)&gt;0,COUNTIF('Extended Death Count'!G$3:G21, $B17),IF(OR(COUNTIF('hololive POVs by Day'!D17,"-")&gt;0,COUNTIF('hololive POVs by Day'!D17,"✔")&gt;0),0,"-"))</f>
        <v>13</v>
      </c>
      <c r="F17" s="71">
        <f>IF(COUNTIF('Extended Death Count'!K$3:K21, $B17)&gt;0,COUNTIF('Extended Death Count'!K$3:K21, $B17),IF(OR(COUNTIF('hololive POVs by Day'!E17,"-")&gt;0,COUNTIF('hololive POVs by Day'!E17,"✔")&gt;0),0,"-"))</f>
        <v>2</v>
      </c>
      <c r="G17" s="71">
        <f>IF(COUNTIF('Extended Death Count'!O$3:O21, $B17)&gt;0,COUNTIF('Extended Death Count'!O$3:O21, $B17),IF(OR(COUNTIF('hololive POVs by Day'!F17,"-")&gt;0,COUNTIF('hololive POVs by Day'!F17,"✔")&gt;0),0,"-"))</f>
        <v>4</v>
      </c>
      <c r="H17" s="71" t="str">
        <f>IF(COUNTIF('Extended Death Count'!S$3:S21, $B17)&gt;0,COUNTIF('Extended Death Count'!S$3:S21, $B17),IF(OR(COUNTIF('hololive POVs by Day'!G17,"-")&gt;0,COUNTIF('hololive POVs by Day'!G17,"✔")&gt;0),0,"-"))</f>
        <v>-</v>
      </c>
      <c r="I17" s="71" t="str">
        <f>IF(COUNTIF('Extended Death Count'!W$3:W21, $B17)&gt;0,COUNTIF('Extended Death Count'!W$3:W21, $B17),IF(OR(COUNTIF('hololive POVs by Day'!H17,"-")&gt;0,COUNTIF('hololive POVs by Day'!H17,"✔")&gt;0),0,"-"))</f>
        <v>-</v>
      </c>
      <c r="J17" s="71" t="str">
        <f>IF(COUNTIF('Extended Death Count'!AA$3:AA21, $B17)&gt;0,COUNTIF('Extended Death Count'!AA$3:AA21, $B17),IF(OR(COUNTIF('hololive POVs by Day'!I17,"-")&gt;0,COUNTIF('hololive POVs by Day'!I17,"✔")&gt;0),0,"-"))</f>
        <v>-</v>
      </c>
      <c r="K17" s="71">
        <f>IF(COUNTIF('Extended Death Count'!AE$3:AE21, $B17)&gt;0,COUNTIF('Extended Death Count'!AE$3:AE21, $B17),IF(OR(COUNTIF('hololive POVs by Day'!J17,"-")&gt;0,COUNTIF('hololive POVs by Day'!J17,"✔")&gt;0),0,"-"))</f>
        <v>3</v>
      </c>
    </row>
    <row r="18">
      <c r="A18" s="72" t="str">
        <f>IMAGE("https://api.mineatar.io/face/8d793ab1-21a8-4162-845f-8779447d229f?scale=12")</f>
        <v/>
      </c>
      <c r="B18" s="73" t="s">
        <v>25</v>
      </c>
      <c r="C18" s="74">
        <f t="shared" si="2"/>
        <v>24</v>
      </c>
      <c r="D18" s="75">
        <f>IF(COUNTIF('Extended Death Count'!C$3:C21, $B18)&gt;0,COUNTIF('Extended Death Count'!C$3:C21, $B18),IF(OR(COUNTIF('hololive POVs by Day'!C18,"-")&gt;0,COUNTIF('hololive POVs by Day'!C18,"✔")&gt;0),0,"-"))</f>
        <v>3</v>
      </c>
      <c r="E18" s="76" t="str">
        <f>IF(COUNTIF('Extended Death Count'!G$3:G21, $B18)&gt;0,COUNTIF('Extended Death Count'!G$3:G21, $B18),IF(OR(COUNTIF('hololive POVs by Day'!D18,"-")&gt;0,COUNTIF('hololive POVs by Day'!D18,"✔")&gt;0),0,"-"))</f>
        <v>-</v>
      </c>
      <c r="F18" s="76">
        <f>IF(COUNTIF('Extended Death Count'!K$3:K21, $B18)&gt;0,COUNTIF('Extended Death Count'!K$3:K21, $B18),IF(OR(COUNTIF('hololive POVs by Day'!E18,"-")&gt;0,COUNTIF('hololive POVs by Day'!E18,"✔")&gt;0),0,"-"))</f>
        <v>17</v>
      </c>
      <c r="G18" s="76">
        <f>IF(COUNTIF('Extended Death Count'!O$3:O21, $B18)&gt;0,COUNTIF('Extended Death Count'!O$3:O21, $B18),IF(OR(COUNTIF('hololive POVs by Day'!F18,"-")&gt;0,COUNTIF('hololive POVs by Day'!F18,"✔")&gt;0),0,"-"))</f>
        <v>1</v>
      </c>
      <c r="H18" s="76" t="str">
        <f>IF(COUNTIF('Extended Death Count'!S$3:S21, $B18)&gt;0,COUNTIF('Extended Death Count'!S$3:S21, $B18),IF(OR(COUNTIF('hololive POVs by Day'!G18,"-")&gt;0,COUNTIF('hololive POVs by Day'!G18,"✔")&gt;0),0,"-"))</f>
        <v>-</v>
      </c>
      <c r="I18" s="76" t="str">
        <f>IF(COUNTIF('Extended Death Count'!W$3:W21, $B18)&gt;0,COUNTIF('Extended Death Count'!W$3:W21, $B18),IF(OR(COUNTIF('hololive POVs by Day'!H18,"-")&gt;0,COUNTIF('hololive POVs by Day'!H18,"✔")&gt;0),0,"-"))</f>
        <v>-</v>
      </c>
      <c r="J18" s="76" t="str">
        <f>IF(COUNTIF('Extended Death Count'!AA$3:AA21, $B18)&gt;0,COUNTIF('Extended Death Count'!AA$3:AA21, $B18),IF(OR(COUNTIF('hololive POVs by Day'!I18,"-")&gt;0,COUNTIF('hololive POVs by Day'!I18,"✔")&gt;0),0,"-"))</f>
        <v>-</v>
      </c>
      <c r="K18" s="76">
        <f>IF(COUNTIF('Extended Death Count'!AE$3:AE21, $B18)&gt;0,COUNTIF('Extended Death Count'!AE$3:AE21, $B18),IF(OR(COUNTIF('hololive POVs by Day'!J18,"-")&gt;0,COUNTIF('hololive POVs by Day'!J18,"✔")&gt;0),0,"-"))</f>
        <v>3</v>
      </c>
    </row>
    <row r="19">
      <c r="A19" s="77" t="str">
        <f>image("https://api.mineatar.io/face/dac5682c-16fd-45fd-8081-9a2000a7048d?scale=12")</f>
        <v/>
      </c>
      <c r="B19" s="78" t="s">
        <v>26</v>
      </c>
      <c r="C19" s="79">
        <f t="shared" si="2"/>
        <v>22</v>
      </c>
      <c r="D19" s="80">
        <f>IF(COUNTIF('Extended Death Count'!C$3:C21, $B19)&gt;0,COUNTIF('Extended Death Count'!C$3:C21, $B19),IF(OR(COUNTIF('hololive POVs by Day'!C19,"-")&gt;0,COUNTIF('hololive POVs by Day'!C19,"✔")&gt;0),0,"-"))</f>
        <v>9</v>
      </c>
      <c r="E19" s="81">
        <f>IF(COUNTIF('Extended Death Count'!G$3:G21, $B19)&gt;0,COUNTIF('Extended Death Count'!G$3:G21, $B19),IF(OR(COUNTIF('hololive POVs by Day'!D19,"-")&gt;0,COUNTIF('hololive POVs by Day'!D19,"✔")&gt;0),0,"-"))</f>
        <v>5</v>
      </c>
      <c r="F19" s="81">
        <f>IF(COUNTIF('Extended Death Count'!K$3:K21, $B19)&gt;0,COUNTIF('Extended Death Count'!K$3:K21, $B19),IF(OR(COUNTIF('hololive POVs by Day'!E19,"-")&gt;0,COUNTIF('hololive POVs by Day'!E19,"✔")&gt;0),0,"-"))</f>
        <v>3</v>
      </c>
      <c r="G19" s="81">
        <f>IF(COUNTIF('Extended Death Count'!O$3:O21, $B19)&gt;0,COUNTIF('Extended Death Count'!O$3:O21, $B19),IF(OR(COUNTIF('hololive POVs by Day'!F19,"-")&gt;0,COUNTIF('hololive POVs by Day'!F19,"✔")&gt;0),0,"-"))</f>
        <v>1</v>
      </c>
      <c r="H19" s="81">
        <f>IF(COUNTIF('Extended Death Count'!S$3:S21, $B19)&gt;0,COUNTIF('Extended Death Count'!S$3:S21, $B19),IF(OR(COUNTIF('hololive POVs by Day'!G19,"-")&gt;0,COUNTIF('hololive POVs by Day'!G19,"✔")&gt;0),0,"-"))</f>
        <v>2</v>
      </c>
      <c r="I19" s="81">
        <f>IF(COUNTIF('Extended Death Count'!W$3:W21, $B19)&gt;0,COUNTIF('Extended Death Count'!W$3:W21, $B19),IF(OR(COUNTIF('hololive POVs by Day'!H19,"-")&gt;0,COUNTIF('hololive POVs by Day'!H19,"✔")&gt;0),0,"-"))</f>
        <v>0</v>
      </c>
      <c r="J19" s="81" t="str">
        <f>IF(COUNTIF('Extended Death Count'!AA$3:AA21, $B19)&gt;0,COUNTIF('Extended Death Count'!AA$3:AA21, $B19),IF(OR(COUNTIF('hololive POVs by Day'!I19,"-")&gt;0,COUNTIF('hololive POVs by Day'!I19,"✔")&gt;0),0,"-"))</f>
        <v>-</v>
      </c>
      <c r="K19" s="81">
        <f>IF(COUNTIF('Extended Death Count'!AE$3:AE21, $B19)&gt;0,COUNTIF('Extended Death Count'!AE$3:AE21, $B19),IF(OR(COUNTIF('hololive POVs by Day'!J19,"-")&gt;0,COUNTIF('hololive POVs by Day'!J19,"✔")&gt;0),0,"-"))</f>
        <v>2</v>
      </c>
    </row>
    <row r="20">
      <c r="A20" s="82" t="str">
        <f>image("https://api.mineatar.io/face/c55046b1-44a0-448a-bec1-fd6c2700230d?scale=12")</f>
        <v/>
      </c>
      <c r="B20" s="83" t="s">
        <v>27</v>
      </c>
      <c r="C20" s="84">
        <f t="shared" si="2"/>
        <v>36</v>
      </c>
      <c r="D20" s="85">
        <f>IF(COUNTIF('Extended Death Count'!C$3:C21, $B20)&gt;0,COUNTIF('Extended Death Count'!C$3:C21, $B20),IF(OR(COUNTIF('hololive POVs by Day'!C20,"-")&gt;0,COUNTIF('hololive POVs by Day'!C20,"✔")&gt;0),0,"-"))</f>
        <v>6</v>
      </c>
      <c r="E20" s="86">
        <f>IF(COUNTIF('Extended Death Count'!G$3:G21, $B20)&gt;0,COUNTIF('Extended Death Count'!G$3:G21, $B20),IF(OR(COUNTIF('hololive POVs by Day'!D20,"-")&gt;0,COUNTIF('hololive POVs by Day'!D20,"✔")&gt;0),0,"-"))</f>
        <v>2</v>
      </c>
      <c r="F20" s="86">
        <f>IF(COUNTIF('Extended Death Count'!K$3:K21, $B20)&gt;0,COUNTIF('Extended Death Count'!K$3:K21, $B20),IF(OR(COUNTIF('hololive POVs by Day'!E20,"-")&gt;0,COUNTIF('hololive POVs by Day'!E20,"✔")&gt;0),0,"-"))</f>
        <v>0</v>
      </c>
      <c r="G20" s="86">
        <f>IF(COUNTIF('Extended Death Count'!O$3:O21, $B20)&gt;0,COUNTIF('Extended Death Count'!O$3:O21, $B20),IF(OR(COUNTIF('hololive POVs by Day'!F20,"-")&gt;0,COUNTIF('hololive POVs by Day'!F20,"✔")&gt;0),0,"-"))</f>
        <v>4</v>
      </c>
      <c r="H20" s="86">
        <f>IF(COUNTIF('Extended Death Count'!S$3:S21, $B20)&gt;0,COUNTIF('Extended Death Count'!S$3:S21, $B20),IF(OR(COUNTIF('hololive POVs by Day'!G20,"-")&gt;0,COUNTIF('hololive POVs by Day'!G20,"✔")&gt;0),0,"-"))</f>
        <v>1</v>
      </c>
      <c r="I20" s="86">
        <f>IF(COUNTIF('Extended Death Count'!W$3:W21, $B20)&gt;0,COUNTIF('Extended Death Count'!W$3:W21, $B20),IF(OR(COUNTIF('hololive POVs by Day'!H20,"-")&gt;0,COUNTIF('hololive POVs by Day'!H20,"✔")&gt;0),0,"-"))</f>
        <v>4</v>
      </c>
      <c r="J20" s="86">
        <f>IF(COUNTIF('Extended Death Count'!AA$3:AA21, $B20)&gt;0,COUNTIF('Extended Death Count'!AA$3:AA21, $B20),IF(OR(COUNTIF('hololive POVs by Day'!I20,"-")&gt;0,COUNTIF('hololive POVs by Day'!I20,"✔")&gt;0),0,"-"))</f>
        <v>15</v>
      </c>
      <c r="K20" s="86">
        <f>IF(COUNTIF('Extended Death Count'!AE$3:AE21, $B20)&gt;0,COUNTIF('Extended Death Count'!AE$3:AE21, $B20),IF(OR(COUNTIF('hololive POVs by Day'!J20,"-")&gt;0,COUNTIF('hololive POVs by Day'!J20,"✔")&gt;0),0,"-"))</f>
        <v>4</v>
      </c>
    </row>
    <row r="21">
      <c r="A21" s="87" t="s">
        <v>28</v>
      </c>
      <c r="B21" s="88"/>
      <c r="C21" s="89">
        <f t="shared" ref="C21:K21" si="3">SUM(C6:C20)</f>
        <v>286</v>
      </c>
      <c r="D21" s="90">
        <f t="shared" si="3"/>
        <v>56</v>
      </c>
      <c r="E21" s="90">
        <f t="shared" si="3"/>
        <v>61</v>
      </c>
      <c r="F21" s="90">
        <f t="shared" si="3"/>
        <v>35</v>
      </c>
      <c r="G21" s="90">
        <f t="shared" si="3"/>
        <v>14</v>
      </c>
      <c r="H21" s="90">
        <f t="shared" si="3"/>
        <v>10</v>
      </c>
      <c r="I21" s="90">
        <f t="shared" si="3"/>
        <v>13</v>
      </c>
      <c r="J21" s="90">
        <f t="shared" si="3"/>
        <v>62</v>
      </c>
      <c r="K21" s="90">
        <f t="shared" si="3"/>
        <v>35</v>
      </c>
    </row>
  </sheetData>
  <mergeCells count="13">
    <mergeCell ref="I1:I4"/>
    <mergeCell ref="J1:J4"/>
    <mergeCell ref="K1:K4"/>
    <mergeCell ref="A4:B4"/>
    <mergeCell ref="A5:B5"/>
    <mergeCell ref="A21:B21"/>
    <mergeCell ref="A1:B3"/>
    <mergeCell ref="C1:C4"/>
    <mergeCell ref="D1:D4"/>
    <mergeCell ref="E1:E4"/>
    <mergeCell ref="F1:F4"/>
    <mergeCell ref="G1:G4"/>
    <mergeCell ref="H1:H4"/>
  </mergeCells>
  <hyperlinks>
    <hyperlink r:id="rId1" ref="B6"/>
    <hyperlink r:id="rId2" ref="B7"/>
    <hyperlink r:id="rId3" ref="B8"/>
    <hyperlink r:id="rId4" ref="B9"/>
    <hyperlink r:id="rId5" ref="B10"/>
    <hyperlink r:id="rId6" ref="B11"/>
    <hyperlink r:id="rId7" ref="B12"/>
    <hyperlink r:id="rId8" ref="B13"/>
    <hyperlink r:id="rId9" ref="B14"/>
    <hyperlink r:id="rId10" ref="B15"/>
    <hyperlink r:id="rId11" ref="B16"/>
    <hyperlink r:id="rId12" ref="B17"/>
    <hyperlink r:id="rId13" ref="B18"/>
    <hyperlink r:id="rId14" ref="B19"/>
    <hyperlink r:id="rId15" ref="B20"/>
  </hyperlinks>
  <drawing r:id="rId16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2.63" defaultRowHeight="15.75"/>
  <cols>
    <col customWidth="1" min="1" max="1" width="5.5"/>
    <col customWidth="1" min="2" max="2" width="2.63"/>
    <col customWidth="1" min="3" max="3" width="13.75"/>
    <col customWidth="1" min="4" max="4" width="40.75"/>
    <col customWidth="1" min="5" max="5" width="5.5"/>
    <col customWidth="1" min="6" max="6" width="2.63"/>
    <col customWidth="1" min="7" max="7" width="13.63"/>
    <col customWidth="1" min="8" max="8" width="56.63"/>
    <col customWidth="1" min="9" max="9" width="5.5"/>
    <col customWidth="1" min="10" max="10" width="2.63"/>
    <col customWidth="1" min="11" max="11" width="13.63"/>
    <col customWidth="1" min="12" max="12" width="56.63"/>
    <col customWidth="1" min="13" max="13" width="5.5"/>
    <col customWidth="1" min="14" max="14" width="2.63"/>
    <col customWidth="1" min="15" max="15" width="13.63"/>
    <col customWidth="1" min="16" max="16" width="56.63"/>
    <col customWidth="1" min="17" max="17" width="5.5"/>
    <col customWidth="1" min="18" max="18" width="2.63"/>
    <col customWidth="1" min="19" max="19" width="13.63"/>
    <col customWidth="1" min="20" max="20" width="56.63"/>
    <col customWidth="1" min="21" max="21" width="5.5"/>
    <col customWidth="1" min="22" max="22" width="2.63"/>
    <col customWidth="1" min="23" max="23" width="13.63"/>
    <col customWidth="1" min="24" max="24" width="56.63"/>
    <col customWidth="1" min="25" max="25" width="5.5"/>
    <col customWidth="1" min="26" max="26" width="2.63"/>
    <col customWidth="1" min="27" max="27" width="13.63"/>
    <col customWidth="1" min="28" max="28" width="56.63"/>
    <col customWidth="1" min="29" max="29" width="5.5"/>
    <col customWidth="1" min="30" max="30" width="2.63"/>
    <col customWidth="1" min="31" max="31" width="13.63"/>
    <col customWidth="1" min="32" max="32" width="56.63"/>
  </cols>
  <sheetData>
    <row r="1">
      <c r="A1" s="91" t="s">
        <v>2</v>
      </c>
      <c r="B1" s="92"/>
      <c r="C1" s="92"/>
      <c r="D1" s="93"/>
      <c r="E1" s="91" t="s">
        <v>3</v>
      </c>
      <c r="F1" s="92"/>
      <c r="G1" s="92"/>
      <c r="H1" s="93"/>
      <c r="I1" s="91" t="s">
        <v>4</v>
      </c>
      <c r="J1" s="92"/>
      <c r="K1" s="92"/>
      <c r="L1" s="93"/>
      <c r="M1" s="91" t="s">
        <v>5</v>
      </c>
      <c r="N1" s="92"/>
      <c r="O1" s="92"/>
      <c r="P1" s="93"/>
      <c r="Q1" s="91" t="s">
        <v>6</v>
      </c>
      <c r="R1" s="92"/>
      <c r="S1" s="92"/>
      <c r="T1" s="93"/>
      <c r="U1" s="91" t="s">
        <v>7</v>
      </c>
      <c r="V1" s="92"/>
      <c r="W1" s="92"/>
      <c r="X1" s="93"/>
      <c r="Y1" s="91" t="s">
        <v>8</v>
      </c>
      <c r="Z1" s="92"/>
      <c r="AA1" s="92"/>
      <c r="AB1" s="93"/>
      <c r="AC1" s="91" t="s">
        <v>9</v>
      </c>
      <c r="AD1" s="92"/>
      <c r="AE1" s="92"/>
      <c r="AF1" s="93"/>
    </row>
    <row r="2">
      <c r="A2" s="94" t="s">
        <v>29</v>
      </c>
      <c r="B2" s="95" t="s">
        <v>30</v>
      </c>
      <c r="C2" s="96"/>
      <c r="D2" s="97" t="s">
        <v>31</v>
      </c>
      <c r="E2" s="94" t="s">
        <v>29</v>
      </c>
      <c r="F2" s="95" t="s">
        <v>30</v>
      </c>
      <c r="G2" s="96"/>
      <c r="H2" s="97" t="s">
        <v>31</v>
      </c>
      <c r="I2" s="94" t="s">
        <v>29</v>
      </c>
      <c r="J2" s="95" t="s">
        <v>30</v>
      </c>
      <c r="K2" s="96"/>
      <c r="L2" s="97" t="s">
        <v>31</v>
      </c>
      <c r="M2" s="94" t="s">
        <v>29</v>
      </c>
      <c r="N2" s="95" t="s">
        <v>30</v>
      </c>
      <c r="O2" s="96"/>
      <c r="P2" s="97" t="s">
        <v>31</v>
      </c>
      <c r="Q2" s="94" t="s">
        <v>29</v>
      </c>
      <c r="R2" s="95" t="s">
        <v>30</v>
      </c>
      <c r="S2" s="96"/>
      <c r="T2" s="97" t="s">
        <v>31</v>
      </c>
      <c r="U2" s="94" t="s">
        <v>29</v>
      </c>
      <c r="V2" s="95" t="s">
        <v>30</v>
      </c>
      <c r="W2" s="96"/>
      <c r="X2" s="97" t="s">
        <v>31</v>
      </c>
      <c r="Y2" s="94" t="s">
        <v>29</v>
      </c>
      <c r="Z2" s="95" t="s">
        <v>30</v>
      </c>
      <c r="AA2" s="96"/>
      <c r="AB2" s="97" t="s">
        <v>31</v>
      </c>
      <c r="AC2" s="94" t="s">
        <v>29</v>
      </c>
      <c r="AD2" s="95" t="s">
        <v>30</v>
      </c>
      <c r="AE2" s="96"/>
      <c r="AF2" s="97" t="s">
        <v>31</v>
      </c>
    </row>
    <row r="3">
      <c r="A3" s="98">
        <v>1.0</v>
      </c>
      <c r="B3" s="99" t="str">
        <f t="array" ref="B3">XLOOKUP(C3,'Death Counter'!$B$6:$B64,'Death Counter'!$A$6:$A64,"")</f>
        <v/>
      </c>
      <c r="C3" s="100" t="s">
        <v>27</v>
      </c>
      <c r="D3" s="101" t="s">
        <v>32</v>
      </c>
      <c r="E3" s="102">
        <f>A58+1</f>
        <v>57</v>
      </c>
      <c r="F3" s="99" t="str">
        <f t="array" ref="F3">XLOOKUP(G3,'Death Counter'!$B$6:$B64,'Death Counter'!$A$6:$A64,"")</f>
        <v/>
      </c>
      <c r="G3" s="100" t="s">
        <v>19</v>
      </c>
      <c r="H3" s="103" t="s">
        <v>33</v>
      </c>
      <c r="I3" s="104">
        <v>118.0</v>
      </c>
      <c r="J3" s="99" t="str">
        <f t="array" ref="J3">XLOOKUP(K3,'Death Counter'!$B$6:$B64,'Death Counter'!$A$6:$A64,"")</f>
        <v/>
      </c>
      <c r="K3" s="105" t="s">
        <v>16</v>
      </c>
      <c r="L3" s="106" t="s">
        <v>34</v>
      </c>
      <c r="M3" s="104">
        <f>I37+1</f>
        <v>153</v>
      </c>
      <c r="N3" s="99" t="str">
        <f t="array" ref="N3">XLOOKUP(O3,'Death Counter'!$B$6:$B64,'Death Counter'!$A$6:$A64,"")</f>
        <v/>
      </c>
      <c r="O3" s="105" t="s">
        <v>24</v>
      </c>
      <c r="P3" s="106" t="s">
        <v>34</v>
      </c>
      <c r="Q3" s="104">
        <f>M16+1</f>
        <v>167</v>
      </c>
      <c r="R3" s="99" t="str">
        <f t="array" ref="R3">XLOOKUP(S3,'Death Counter'!$B$6:$B64,'Death Counter'!$A$6:$A64,"")</f>
        <v/>
      </c>
      <c r="S3" s="105" t="s">
        <v>23</v>
      </c>
      <c r="T3" s="103" t="s">
        <v>35</v>
      </c>
      <c r="U3" s="102">
        <f>Q12+1</f>
        <v>177</v>
      </c>
      <c r="V3" s="99" t="str">
        <f t="array" ref="V3">XLOOKUP(W3,'Death Counter'!$B$6:$B64,'Death Counter'!$A$6:$A64,"")</f>
        <v/>
      </c>
      <c r="W3" s="105" t="s">
        <v>22</v>
      </c>
      <c r="X3" s="106" t="s">
        <v>34</v>
      </c>
      <c r="Y3" s="102">
        <f>U15+1</f>
        <v>190</v>
      </c>
      <c r="Z3" s="99" t="str">
        <f t="array" ref="Z3">XLOOKUP(AA3,'Death Counter'!$B$6:$B64,'Death Counter'!$A$6:$A64,"")</f>
        <v/>
      </c>
      <c r="AA3" s="105" t="s">
        <v>16</v>
      </c>
      <c r="AB3" s="103" t="s">
        <v>36</v>
      </c>
      <c r="AC3" s="102">
        <f>Y64+1</f>
        <v>252</v>
      </c>
      <c r="AD3" s="99" t="str">
        <f t="array" ref="AD3">XLOOKUP(AE3,'Death Counter'!$B$6:$B64,'Death Counter'!$A$6:$A64,"")</f>
        <v/>
      </c>
      <c r="AE3" s="105" t="s">
        <v>24</v>
      </c>
      <c r="AF3" s="106" t="s">
        <v>37</v>
      </c>
    </row>
    <row r="4">
      <c r="A4" s="102">
        <f t="shared" ref="A4:A58" si="1">A3+1</f>
        <v>2</v>
      </c>
      <c r="B4" s="99" t="str">
        <f t="array" ref="B4">XLOOKUP(C4,'Death Counter'!$B$6:$B64,'Death Counter'!$A$6:$A64,"")</f>
        <v/>
      </c>
      <c r="C4" s="100" t="s">
        <v>18</v>
      </c>
      <c r="D4" s="106" t="s">
        <v>25</v>
      </c>
      <c r="E4" s="102">
        <f t="shared" ref="E4:E63" si="2">E3+1</f>
        <v>58</v>
      </c>
      <c r="F4" s="99" t="str">
        <f t="array" ref="F4">XLOOKUP(G4,'Death Counter'!$B$6:$B64,'Death Counter'!$A$6:$A64,"")</f>
        <v/>
      </c>
      <c r="G4" s="100" t="s">
        <v>18</v>
      </c>
      <c r="H4" s="106" t="s">
        <v>38</v>
      </c>
      <c r="I4" s="102">
        <f t="shared" ref="I4:I37" si="3">I3+1</f>
        <v>119</v>
      </c>
      <c r="J4" s="99" t="str">
        <f t="array" ref="J4">XLOOKUP(K4,'Death Counter'!$B$6:$B64,'Death Counter'!$A$6:$A64,"")</f>
        <v/>
      </c>
      <c r="K4" s="105" t="s">
        <v>25</v>
      </c>
      <c r="L4" s="106" t="s">
        <v>39</v>
      </c>
      <c r="M4" s="102">
        <f t="shared" ref="M4:M16" si="4">M3+1</f>
        <v>154</v>
      </c>
      <c r="N4" s="99" t="str">
        <f t="array" ref="N4">XLOOKUP(O4,'Death Counter'!$B$6:$B64,'Death Counter'!$A$6:$A64,"")</f>
        <v/>
      </c>
      <c r="O4" s="105" t="s">
        <v>25</v>
      </c>
      <c r="P4" s="103" t="s">
        <v>40</v>
      </c>
      <c r="Q4" s="102">
        <f t="shared" ref="Q4:Q12" si="5">Q3+1</f>
        <v>168</v>
      </c>
      <c r="R4" s="99" t="str">
        <f t="array" ref="R4">XLOOKUP(S4,'Death Counter'!$B$6:$B64,'Death Counter'!$A$6:$A64,"")</f>
        <v/>
      </c>
      <c r="S4" s="105" t="s">
        <v>27</v>
      </c>
      <c r="T4" s="103" t="s">
        <v>40</v>
      </c>
      <c r="U4" s="102">
        <f t="shared" ref="U4:U15" si="6">U3+1</f>
        <v>178</v>
      </c>
      <c r="V4" s="99" t="str">
        <f t="array" ref="V4">XLOOKUP(W4,'Death Counter'!$B$6:$B64,'Death Counter'!$A$6:$A64,"")</f>
        <v/>
      </c>
      <c r="W4" s="105" t="s">
        <v>20</v>
      </c>
      <c r="X4" s="103" t="s">
        <v>41</v>
      </c>
      <c r="Y4" s="102">
        <f t="shared" ref="Y4:Y64" si="7">Y3+1</f>
        <v>191</v>
      </c>
      <c r="Z4" s="99" t="str">
        <f t="array" ref="Z4">XLOOKUP(AA4,'Death Counter'!$B$6:$B64,'Death Counter'!$A$6:$A64,"")</f>
        <v/>
      </c>
      <c r="AA4" s="105" t="s">
        <v>17</v>
      </c>
      <c r="AB4" s="103" t="s">
        <v>40</v>
      </c>
      <c r="AC4" s="102">
        <f t="shared" ref="AC4:AC37" si="8">AC3+1</f>
        <v>253</v>
      </c>
      <c r="AD4" s="99" t="str">
        <f t="array" ref="AD4">XLOOKUP(AE4,'Death Counter'!$B$6:$B64,'Death Counter'!$A$6:$A64,"")</f>
        <v/>
      </c>
      <c r="AE4" s="105" t="s">
        <v>18</v>
      </c>
      <c r="AF4" s="103" t="s">
        <v>42</v>
      </c>
    </row>
    <row r="5">
      <c r="A5" s="102">
        <f t="shared" si="1"/>
        <v>3</v>
      </c>
      <c r="B5" s="99" t="str">
        <f t="array" ref="B5">XLOOKUP(C5,'Death Counter'!$B$6:$B64,'Death Counter'!$A$6:$A64,"")</f>
        <v/>
      </c>
      <c r="C5" s="100" t="s">
        <v>27</v>
      </c>
      <c r="D5" s="106" t="s">
        <v>38</v>
      </c>
      <c r="E5" s="102">
        <f t="shared" si="2"/>
        <v>59</v>
      </c>
      <c r="F5" s="99" t="str">
        <f t="array" ref="F5">XLOOKUP(G5,'Death Counter'!$B$6:$B64,'Death Counter'!$A$6:$A64,"")</f>
        <v/>
      </c>
      <c r="G5" s="100" t="s">
        <v>18</v>
      </c>
      <c r="H5" s="106" t="s">
        <v>38</v>
      </c>
      <c r="I5" s="102">
        <f t="shared" si="3"/>
        <v>120</v>
      </c>
      <c r="J5" s="99" t="str">
        <f t="array" ref="J5">XLOOKUP(K5,'Death Counter'!$B$6:$B64,'Death Counter'!$A$6:$A64,"")</f>
        <v/>
      </c>
      <c r="K5" s="105" t="s">
        <v>16</v>
      </c>
      <c r="L5" s="106" t="s">
        <v>34</v>
      </c>
      <c r="M5" s="102">
        <f t="shared" si="4"/>
        <v>155</v>
      </c>
      <c r="N5" s="99" t="str">
        <f t="array" ref="N5">XLOOKUP(O5,'Death Counter'!$B$6:$B64,'Death Counter'!$A$6:$A64,"")</f>
        <v/>
      </c>
      <c r="O5" s="105" t="s">
        <v>27</v>
      </c>
      <c r="P5" s="106" t="s">
        <v>43</v>
      </c>
      <c r="Q5" s="102">
        <f t="shared" si="5"/>
        <v>169</v>
      </c>
      <c r="R5" s="99" t="str">
        <f t="array" ref="R5">XLOOKUP(S5,'Death Counter'!$B$6:$B64,'Death Counter'!$A$6:$A64,"")</f>
        <v/>
      </c>
      <c r="S5" s="100" t="s">
        <v>15</v>
      </c>
      <c r="T5" s="106" t="s">
        <v>44</v>
      </c>
      <c r="U5" s="102">
        <f t="shared" si="6"/>
        <v>179</v>
      </c>
      <c r="V5" s="99" t="str">
        <f t="array" ref="V5">XLOOKUP(W5,'Death Counter'!$B$6:$B64,'Death Counter'!$A$6:$A64,"")</f>
        <v/>
      </c>
      <c r="W5" s="100" t="s">
        <v>15</v>
      </c>
      <c r="X5" s="103" t="s">
        <v>40</v>
      </c>
      <c r="Y5" s="102">
        <f t="shared" si="7"/>
        <v>192</v>
      </c>
      <c r="Z5" s="99" t="str">
        <f t="array" ref="Z5">XLOOKUP(AA5,'Death Counter'!$B$6:$B64,'Death Counter'!$A$6:$A64,"")</f>
        <v/>
      </c>
      <c r="AA5" s="105" t="s">
        <v>27</v>
      </c>
      <c r="AB5" s="103" t="s">
        <v>45</v>
      </c>
      <c r="AC5" s="102">
        <f t="shared" si="8"/>
        <v>254</v>
      </c>
      <c r="AD5" s="99" t="str">
        <f t="array" ref="AD5">XLOOKUP(AE5,'Death Counter'!$B$6:$B64,'Death Counter'!$A$6:$A64,"")</f>
        <v/>
      </c>
      <c r="AE5" s="105" t="s">
        <v>18</v>
      </c>
      <c r="AF5" s="103" t="s">
        <v>46</v>
      </c>
    </row>
    <row r="6">
      <c r="A6" s="102">
        <f t="shared" si="1"/>
        <v>4</v>
      </c>
      <c r="B6" s="99" t="str">
        <f t="array" ref="B6">XLOOKUP(C6,'Death Counter'!$B$6:$B64,'Death Counter'!$A$6:$A64,"")</f>
        <v/>
      </c>
      <c r="C6" s="100" t="s">
        <v>18</v>
      </c>
      <c r="D6" s="106" t="s">
        <v>47</v>
      </c>
      <c r="E6" s="102">
        <f t="shared" si="2"/>
        <v>60</v>
      </c>
      <c r="F6" s="99" t="str">
        <f t="array" ref="F6">XLOOKUP(G6,'Death Counter'!$B$6:$B64,'Death Counter'!$A$6:$A64,"")</f>
        <v/>
      </c>
      <c r="G6" s="100" t="s">
        <v>18</v>
      </c>
      <c r="H6" s="106" t="s">
        <v>38</v>
      </c>
      <c r="I6" s="102">
        <f t="shared" si="3"/>
        <v>121</v>
      </c>
      <c r="J6" s="99" t="str">
        <f t="array" ref="J6">XLOOKUP(K6,'Death Counter'!$B$6:$B64,'Death Counter'!$A$6:$A64,"")</f>
        <v/>
      </c>
      <c r="K6" s="105" t="s">
        <v>25</v>
      </c>
      <c r="L6" s="106" t="s">
        <v>48</v>
      </c>
      <c r="M6" s="102">
        <f t="shared" si="4"/>
        <v>156</v>
      </c>
      <c r="N6" s="99" t="str">
        <f t="array" ref="N6">XLOOKUP(O6,'Death Counter'!$B$6:$B64,'Death Counter'!$A$6:$A64,"")</f>
        <v/>
      </c>
      <c r="O6" s="105" t="s">
        <v>24</v>
      </c>
      <c r="P6" s="103" t="s">
        <v>49</v>
      </c>
      <c r="Q6" s="102">
        <f t="shared" si="5"/>
        <v>170</v>
      </c>
      <c r="R6" s="99" t="str">
        <f t="array" ref="R6">XLOOKUP(S6,'Death Counter'!$B$6:$B64,'Death Counter'!$A$6:$A64,"")</f>
        <v/>
      </c>
      <c r="S6" s="105" t="s">
        <v>26</v>
      </c>
      <c r="T6" s="106" t="s">
        <v>50</v>
      </c>
      <c r="U6" s="102">
        <f t="shared" si="6"/>
        <v>180</v>
      </c>
      <c r="V6" s="99" t="str">
        <f t="array" ref="V6">XLOOKUP(W6,'Death Counter'!$B$6:$B64,'Death Counter'!$A$6:$A64,"")</f>
        <v/>
      </c>
      <c r="W6" s="105" t="s">
        <v>27</v>
      </c>
      <c r="X6" s="106" t="s">
        <v>48</v>
      </c>
      <c r="Y6" s="102">
        <f t="shared" si="7"/>
        <v>193</v>
      </c>
      <c r="Z6" s="99" t="str">
        <f t="array" ref="Z6">XLOOKUP(AA6,'Death Counter'!$B$6:$B64,'Death Counter'!$A$6:$A64,"")</f>
        <v/>
      </c>
      <c r="AA6" s="105" t="s">
        <v>14</v>
      </c>
      <c r="AB6" s="106" t="s">
        <v>51</v>
      </c>
      <c r="AC6" s="102">
        <f t="shared" si="8"/>
        <v>255</v>
      </c>
      <c r="AD6" s="99" t="str">
        <f t="array" ref="AD6">XLOOKUP(AE6,'Death Counter'!$B$6:$B64,'Death Counter'!$A$6:$A64,"")</f>
        <v/>
      </c>
      <c r="AE6" s="105" t="s">
        <v>18</v>
      </c>
      <c r="AF6" s="106" t="s">
        <v>52</v>
      </c>
    </row>
    <row r="7">
      <c r="A7" s="102">
        <f t="shared" si="1"/>
        <v>5</v>
      </c>
      <c r="B7" s="99" t="str">
        <f t="array" ref="B7">XLOOKUP(C7,'Death Counter'!$B$6:$B64,'Death Counter'!$A$6:$A64,"")</f>
        <v/>
      </c>
      <c r="C7" s="100" t="s">
        <v>27</v>
      </c>
      <c r="D7" s="106" t="s">
        <v>47</v>
      </c>
      <c r="E7" s="102">
        <f t="shared" si="2"/>
        <v>61</v>
      </c>
      <c r="F7" s="99" t="str">
        <f t="array" ref="F7">XLOOKUP(G7,'Death Counter'!$B$6:$B64,'Death Counter'!$A$6:$A64,"")</f>
        <v/>
      </c>
      <c r="G7" s="100" t="s">
        <v>21</v>
      </c>
      <c r="H7" s="106" t="s">
        <v>47</v>
      </c>
      <c r="I7" s="102">
        <f t="shared" si="3"/>
        <v>122</v>
      </c>
      <c r="J7" s="99" t="str">
        <f t="array" ref="J7">XLOOKUP(K7,'Death Counter'!$B$6:$B64,'Death Counter'!$A$6:$A64,"")</f>
        <v/>
      </c>
      <c r="K7" s="105" t="s">
        <v>16</v>
      </c>
      <c r="L7" s="106" t="s">
        <v>41</v>
      </c>
      <c r="M7" s="102">
        <f t="shared" si="4"/>
        <v>157</v>
      </c>
      <c r="N7" s="99" t="str">
        <f t="array" ref="N7">XLOOKUP(O7,'Death Counter'!$B$6:$B64,'Death Counter'!$A$6:$A64,"")</f>
        <v/>
      </c>
      <c r="O7" s="100" t="s">
        <v>15</v>
      </c>
      <c r="P7" s="103" t="s">
        <v>53</v>
      </c>
      <c r="Q7" s="102">
        <f t="shared" si="5"/>
        <v>171</v>
      </c>
      <c r="R7" s="99" t="str">
        <f t="array" ref="R7">XLOOKUP(S7,'Death Counter'!$B$6:$B64,'Death Counter'!$A$6:$A64,"")</f>
        <v/>
      </c>
      <c r="S7" s="105" t="s">
        <v>16</v>
      </c>
      <c r="T7" s="103" t="s">
        <v>40</v>
      </c>
      <c r="U7" s="102">
        <f t="shared" si="6"/>
        <v>181</v>
      </c>
      <c r="V7" s="99" t="str">
        <f t="array" ref="V7">XLOOKUP(W7,'Death Counter'!$B$6:$B64,'Death Counter'!$A$6:$A64,"")</f>
        <v/>
      </c>
      <c r="W7" s="105" t="s">
        <v>19</v>
      </c>
      <c r="X7" s="106" t="s">
        <v>54</v>
      </c>
      <c r="Y7" s="102">
        <f t="shared" si="7"/>
        <v>194</v>
      </c>
      <c r="Z7" s="99" t="str">
        <f t="array" ref="Z7">XLOOKUP(AA7,'Death Counter'!$B$6:$B64,'Death Counter'!$A$6:$A64,"")</f>
        <v/>
      </c>
      <c r="AA7" s="105" t="s">
        <v>17</v>
      </c>
      <c r="AB7" s="103" t="s">
        <v>55</v>
      </c>
      <c r="AC7" s="102">
        <f t="shared" si="8"/>
        <v>256</v>
      </c>
      <c r="AD7" s="99" t="str">
        <f t="array" ref="AD7">XLOOKUP(AE7,'Death Counter'!$B$6:$B64,'Death Counter'!$A$6:$A64,"")</f>
        <v/>
      </c>
      <c r="AE7" s="105" t="s">
        <v>18</v>
      </c>
      <c r="AF7" s="103" t="s">
        <v>42</v>
      </c>
    </row>
    <row r="8">
      <c r="A8" s="102">
        <f t="shared" si="1"/>
        <v>6</v>
      </c>
      <c r="B8" s="99" t="str">
        <f t="array" ref="B8">XLOOKUP(C8,'Death Counter'!$B$6:$B64,'Death Counter'!$A$6:$A64,"")</f>
        <v/>
      </c>
      <c r="C8" s="100" t="s">
        <v>15</v>
      </c>
      <c r="D8" s="106" t="s">
        <v>38</v>
      </c>
      <c r="E8" s="102">
        <f t="shared" si="2"/>
        <v>62</v>
      </c>
      <c r="F8" s="99" t="str">
        <f t="array" ref="F8">XLOOKUP(G8,'Death Counter'!$B$6:$B64,'Death Counter'!$A$6:$A64,"")</f>
        <v/>
      </c>
      <c r="G8" s="100" t="s">
        <v>19</v>
      </c>
      <c r="H8" s="106" t="s">
        <v>47</v>
      </c>
      <c r="I8" s="102">
        <f t="shared" si="3"/>
        <v>123</v>
      </c>
      <c r="J8" s="99" t="str">
        <f t="array" ref="J8">XLOOKUP(K8,'Death Counter'!$B$6:$B64,'Death Counter'!$A$6:$A64,"")</f>
        <v/>
      </c>
      <c r="K8" s="105" t="s">
        <v>25</v>
      </c>
      <c r="L8" s="106" t="s">
        <v>56</v>
      </c>
      <c r="M8" s="102">
        <f t="shared" si="4"/>
        <v>158</v>
      </c>
      <c r="N8" s="99" t="str">
        <f t="array" ref="N8">XLOOKUP(O8,'Death Counter'!$B$6:$B64,'Death Counter'!$A$6:$A64,"")</f>
        <v/>
      </c>
      <c r="O8" s="105" t="s">
        <v>27</v>
      </c>
      <c r="P8" s="103" t="s">
        <v>57</v>
      </c>
      <c r="Q8" s="102">
        <f t="shared" si="5"/>
        <v>172</v>
      </c>
      <c r="R8" s="99" t="str">
        <f t="array" ref="R8">XLOOKUP(S8,'Death Counter'!$B$6:$B64,'Death Counter'!$A$6:$A64,"")</f>
        <v/>
      </c>
      <c r="S8" s="105" t="s">
        <v>22</v>
      </c>
      <c r="T8" s="103" t="s">
        <v>58</v>
      </c>
      <c r="U8" s="102">
        <f t="shared" si="6"/>
        <v>182</v>
      </c>
      <c r="V8" s="99" t="str">
        <f t="array" ref="V8">XLOOKUP(W8,'Death Counter'!$B$6:$B64,'Death Counter'!$A$6:$A64,"")</f>
        <v/>
      </c>
      <c r="W8" s="105" t="s">
        <v>27</v>
      </c>
      <c r="X8" s="103" t="s">
        <v>56</v>
      </c>
      <c r="Y8" s="102">
        <f t="shared" si="7"/>
        <v>195</v>
      </c>
      <c r="Z8" s="99" t="str">
        <f t="array" ref="Z8">XLOOKUP(AA8,'Death Counter'!$B$6:$B64,'Death Counter'!$A$6:$A64,"")</f>
        <v/>
      </c>
      <c r="AA8" s="105" t="s">
        <v>27</v>
      </c>
      <c r="AB8" s="103" t="s">
        <v>45</v>
      </c>
      <c r="AC8" s="102">
        <f t="shared" si="8"/>
        <v>257</v>
      </c>
      <c r="AD8" s="99" t="str">
        <f t="array" ref="AD8">XLOOKUP(AE8,'Death Counter'!$B$6:$B64,'Death Counter'!$A$6:$A64,"")</f>
        <v/>
      </c>
      <c r="AE8" s="105" t="s">
        <v>22</v>
      </c>
      <c r="AF8" s="103" t="s">
        <v>42</v>
      </c>
    </row>
    <row r="9">
      <c r="A9" s="102">
        <f t="shared" si="1"/>
        <v>7</v>
      </c>
      <c r="B9" s="99" t="str">
        <f t="array" ref="B9">XLOOKUP(C9,'Death Counter'!$B$6:$B64,'Death Counter'!$A$6:$A64,"")</f>
        <v/>
      </c>
      <c r="C9" s="100" t="s">
        <v>16</v>
      </c>
      <c r="D9" s="106" t="s">
        <v>38</v>
      </c>
      <c r="E9" s="102">
        <f t="shared" si="2"/>
        <v>63</v>
      </c>
      <c r="F9" s="99" t="str">
        <f t="array" ref="F9">XLOOKUP(G9,'Death Counter'!$B$6:$B64,'Death Counter'!$A$6:$A64,"")</f>
        <v/>
      </c>
      <c r="G9" s="100" t="s">
        <v>21</v>
      </c>
      <c r="H9" s="106" t="s">
        <v>41</v>
      </c>
      <c r="I9" s="102">
        <f t="shared" si="3"/>
        <v>124</v>
      </c>
      <c r="J9" s="99" t="str">
        <f t="array" ref="J9">XLOOKUP(K9,'Death Counter'!$B$6:$B64,'Death Counter'!$A$6:$A64,"")</f>
        <v/>
      </c>
      <c r="K9" s="105" t="s">
        <v>25</v>
      </c>
      <c r="L9" s="106" t="s">
        <v>56</v>
      </c>
      <c r="M9" s="102">
        <f t="shared" si="4"/>
        <v>159</v>
      </c>
      <c r="N9" s="99" t="str">
        <f t="array" ref="N9">XLOOKUP(O9,'Death Counter'!$B$6:$B64,'Death Counter'!$A$6:$A64,"")</f>
        <v/>
      </c>
      <c r="O9" s="105" t="s">
        <v>24</v>
      </c>
      <c r="P9" s="103" t="s">
        <v>57</v>
      </c>
      <c r="Q9" s="102">
        <f t="shared" si="5"/>
        <v>173</v>
      </c>
      <c r="R9" s="99" t="str">
        <f t="array" ref="R9">XLOOKUP(S9,'Death Counter'!$B$6:$B64,'Death Counter'!$A$6:$A64,"")</f>
        <v/>
      </c>
      <c r="S9" s="105" t="s">
        <v>26</v>
      </c>
      <c r="T9" s="103" t="s">
        <v>59</v>
      </c>
      <c r="U9" s="102">
        <f t="shared" si="6"/>
        <v>183</v>
      </c>
      <c r="V9" s="99" t="str">
        <f t="array" ref="V9">XLOOKUP(W9,'Death Counter'!$B$6:$B64,'Death Counter'!$A$6:$A64,"")</f>
        <v/>
      </c>
      <c r="W9" s="105" t="s">
        <v>16</v>
      </c>
      <c r="X9" s="103" t="s">
        <v>60</v>
      </c>
      <c r="Y9" s="102">
        <f t="shared" si="7"/>
        <v>196</v>
      </c>
      <c r="Z9" s="99" t="str">
        <f t="array" ref="Z9">XLOOKUP(AA9,'Death Counter'!$B$6:$B64,'Death Counter'!$A$6:$A64,"")</f>
        <v/>
      </c>
      <c r="AA9" s="105" t="s">
        <v>16</v>
      </c>
      <c r="AB9" s="103" t="s">
        <v>61</v>
      </c>
      <c r="AC9" s="102">
        <f t="shared" si="8"/>
        <v>258</v>
      </c>
      <c r="AD9" s="99" t="str">
        <f t="array" ref="AD9">XLOOKUP(AE9,'Death Counter'!$B$6:$B64,'Death Counter'!$A$6:$A64,"")</f>
        <v/>
      </c>
      <c r="AE9" s="105" t="s">
        <v>25</v>
      </c>
      <c r="AF9" s="103" t="s">
        <v>42</v>
      </c>
    </row>
    <row r="10">
      <c r="A10" s="102">
        <f t="shared" si="1"/>
        <v>8</v>
      </c>
      <c r="B10" s="99" t="str">
        <f t="array" ref="B10">XLOOKUP(C10,'Death Counter'!$B$6:$B64,'Death Counter'!$A$6:$A64,"")</f>
        <v/>
      </c>
      <c r="C10" s="100" t="s">
        <v>20</v>
      </c>
      <c r="D10" s="106" t="s">
        <v>38</v>
      </c>
      <c r="E10" s="102">
        <f t="shared" si="2"/>
        <v>64</v>
      </c>
      <c r="F10" s="99" t="str">
        <f t="array" ref="F10">XLOOKUP(G10,'Death Counter'!$B$6:$B64,'Death Counter'!$A$6:$A64,"")</f>
        <v/>
      </c>
      <c r="G10" s="100" t="s">
        <v>16</v>
      </c>
      <c r="H10" s="106" t="s">
        <v>48</v>
      </c>
      <c r="I10" s="102">
        <f t="shared" si="3"/>
        <v>125</v>
      </c>
      <c r="J10" s="99" t="str">
        <f t="array" ref="J10">XLOOKUP(K10,'Death Counter'!$B$6:$B64,'Death Counter'!$A$6:$A64,"")</f>
        <v/>
      </c>
      <c r="K10" s="105" t="s">
        <v>16</v>
      </c>
      <c r="L10" s="106" t="s">
        <v>48</v>
      </c>
      <c r="M10" s="102">
        <f t="shared" si="4"/>
        <v>160</v>
      </c>
      <c r="N10" s="99" t="str">
        <f t="array" ref="N10">XLOOKUP(O10,'Death Counter'!$B$6:$B64,'Death Counter'!$A$6:$A64,"")</f>
        <v/>
      </c>
      <c r="O10" s="105" t="s">
        <v>24</v>
      </c>
      <c r="P10" s="103" t="s">
        <v>62</v>
      </c>
      <c r="Q10" s="102">
        <f t="shared" si="5"/>
        <v>174</v>
      </c>
      <c r="R10" s="99" t="str">
        <f t="array" ref="R10">XLOOKUP(S10,'Death Counter'!$B$6:$B64,'Death Counter'!$A$6:$A64,"")</f>
        <v/>
      </c>
      <c r="S10" s="105" t="s">
        <v>22</v>
      </c>
      <c r="T10" s="106" t="s">
        <v>63</v>
      </c>
      <c r="U10" s="102">
        <f t="shared" si="6"/>
        <v>184</v>
      </c>
      <c r="V10" s="99" t="str">
        <f t="array" ref="V10">XLOOKUP(W10,'Death Counter'!$B$6:$B64,'Death Counter'!$A$6:$A64,"")</f>
        <v/>
      </c>
      <c r="W10" s="105" t="s">
        <v>27</v>
      </c>
      <c r="X10" s="106" t="s">
        <v>39</v>
      </c>
      <c r="Y10" s="102">
        <f t="shared" si="7"/>
        <v>197</v>
      </c>
      <c r="Z10" s="99" t="str">
        <f t="array" ref="Z10">XLOOKUP(AA10,'Death Counter'!$B$6:$B64,'Death Counter'!$A$6:$A64,"")</f>
        <v/>
      </c>
      <c r="AA10" s="105" t="s">
        <v>17</v>
      </c>
      <c r="AB10" s="106" t="s">
        <v>51</v>
      </c>
      <c r="AC10" s="102">
        <f t="shared" si="8"/>
        <v>259</v>
      </c>
      <c r="AD10" s="99" t="str">
        <f t="array" ref="AD10">XLOOKUP(AE10,'Death Counter'!$B$6:$B64,'Death Counter'!$A$6:$A64,"")</f>
        <v/>
      </c>
      <c r="AE10" s="105" t="s">
        <v>16</v>
      </c>
      <c r="AF10" s="103" t="s">
        <v>64</v>
      </c>
    </row>
    <row r="11">
      <c r="A11" s="102">
        <f t="shared" si="1"/>
        <v>9</v>
      </c>
      <c r="B11" s="99" t="str">
        <f t="array" ref="B11">XLOOKUP(C11,'Death Counter'!$B$6:$B64,'Death Counter'!$A$6:$A64,"")</f>
        <v/>
      </c>
      <c r="C11" s="100" t="s">
        <v>18</v>
      </c>
      <c r="D11" s="106" t="s">
        <v>38</v>
      </c>
      <c r="E11" s="102">
        <f t="shared" si="2"/>
        <v>65</v>
      </c>
      <c r="F11" s="99" t="str">
        <f t="array" ref="F11">XLOOKUP(G11,'Death Counter'!$B$6:$B64,'Death Counter'!$A$6:$A64,"")</f>
        <v/>
      </c>
      <c r="G11" s="100" t="s">
        <v>14</v>
      </c>
      <c r="H11" s="106" t="s">
        <v>48</v>
      </c>
      <c r="I11" s="102">
        <f t="shared" si="3"/>
        <v>126</v>
      </c>
      <c r="J11" s="99" t="str">
        <f t="array" ref="J11">XLOOKUP(K11,'Death Counter'!$B$6:$B64,'Death Counter'!$A$6:$A64,"")</f>
        <v/>
      </c>
      <c r="K11" s="105" t="s">
        <v>25</v>
      </c>
      <c r="L11" s="106" t="s">
        <v>56</v>
      </c>
      <c r="M11" s="102">
        <f t="shared" si="4"/>
        <v>161</v>
      </c>
      <c r="N11" s="99" t="str">
        <f t="array" ref="N11">XLOOKUP(O11,'Death Counter'!$B$6:$B64,'Death Counter'!$A$6:$A64,"")</f>
        <v/>
      </c>
      <c r="O11" s="105" t="s">
        <v>26</v>
      </c>
      <c r="P11" s="106" t="s">
        <v>44</v>
      </c>
      <c r="Q11" s="102">
        <f t="shared" si="5"/>
        <v>175</v>
      </c>
      <c r="R11" s="99" t="str">
        <f t="array" ref="R11">XLOOKUP(S11,'Death Counter'!$B$6:$B64,'Death Counter'!$A$6:$A64,"")</f>
        <v/>
      </c>
      <c r="S11" s="105" t="s">
        <v>16</v>
      </c>
      <c r="T11" s="103" t="s">
        <v>57</v>
      </c>
      <c r="U11" s="102">
        <f t="shared" si="6"/>
        <v>185</v>
      </c>
      <c r="V11" s="99" t="str">
        <f t="array" ref="V11">XLOOKUP(W11,'Death Counter'!$B$6:$B64,'Death Counter'!$A$6:$A64,"")</f>
        <v/>
      </c>
      <c r="W11" s="105" t="s">
        <v>16</v>
      </c>
      <c r="X11" s="106" t="s">
        <v>34</v>
      </c>
      <c r="Y11" s="102">
        <f t="shared" si="7"/>
        <v>198</v>
      </c>
      <c r="Z11" s="99" t="str">
        <f t="array" ref="Z11">XLOOKUP(AA11,'Death Counter'!$B$6:$B64,'Death Counter'!$A$6:$A64,"")</f>
        <v/>
      </c>
      <c r="AA11" s="105" t="s">
        <v>16</v>
      </c>
      <c r="AB11" s="103" t="s">
        <v>45</v>
      </c>
      <c r="AC11" s="102">
        <f t="shared" si="8"/>
        <v>260</v>
      </c>
      <c r="AD11" s="99" t="str">
        <f t="array" ref="AD11">XLOOKUP(AE11,'Death Counter'!$B$6:$B64,'Death Counter'!$A$6:$A64,"")</f>
        <v/>
      </c>
      <c r="AE11" s="105" t="s">
        <v>16</v>
      </c>
      <c r="AF11" s="103" t="s">
        <v>65</v>
      </c>
    </row>
    <row r="12">
      <c r="A12" s="102">
        <f t="shared" si="1"/>
        <v>10</v>
      </c>
      <c r="B12" s="99" t="str">
        <f t="array" ref="B12">XLOOKUP(C12,'Death Counter'!$B$6:$B64,'Death Counter'!$A$6:$A64,"")</f>
        <v/>
      </c>
      <c r="C12" s="100" t="s">
        <v>27</v>
      </c>
      <c r="D12" s="106" t="s">
        <v>66</v>
      </c>
      <c r="E12" s="102">
        <f t="shared" si="2"/>
        <v>66</v>
      </c>
      <c r="F12" s="99" t="str">
        <f t="array" ref="F12">XLOOKUP(G12,'Death Counter'!$B$6:$B64,'Death Counter'!$A$6:$A64,"")</f>
        <v/>
      </c>
      <c r="G12" s="100" t="s">
        <v>19</v>
      </c>
      <c r="H12" s="106" t="s">
        <v>39</v>
      </c>
      <c r="I12" s="102">
        <f t="shared" si="3"/>
        <v>127</v>
      </c>
      <c r="J12" s="99" t="str">
        <f t="array" ref="J12">XLOOKUP(K12,'Death Counter'!$B$6:$B64,'Death Counter'!$A$6:$A64,"")</f>
        <v/>
      </c>
      <c r="K12" s="105" t="s">
        <v>25</v>
      </c>
      <c r="L12" s="106" t="s">
        <v>56</v>
      </c>
      <c r="M12" s="102">
        <f t="shared" si="4"/>
        <v>162</v>
      </c>
      <c r="N12" s="99" t="str">
        <f t="array" ref="N12">XLOOKUP(O12,'Death Counter'!$B$6:$B64,'Death Counter'!$A$6:$A64,"")</f>
        <v/>
      </c>
      <c r="O12" s="105" t="s">
        <v>16</v>
      </c>
      <c r="P12" s="103" t="s">
        <v>41</v>
      </c>
      <c r="Q12" s="107">
        <f t="shared" si="5"/>
        <v>176</v>
      </c>
      <c r="R12" s="108" t="str">
        <f t="array" ref="R12">XLOOKUP(S12,'Death Counter'!$B$6:$B64,'Death Counter'!$A$6:$A64,"")</f>
        <v/>
      </c>
      <c r="S12" s="109" t="s">
        <v>16</v>
      </c>
      <c r="T12" s="110" t="s">
        <v>67</v>
      </c>
      <c r="U12" s="102">
        <f t="shared" si="6"/>
        <v>186</v>
      </c>
      <c r="V12" s="99" t="str">
        <f t="array" ref="V12">XLOOKUP(W12,'Death Counter'!$B$6:$B64,'Death Counter'!$A$6:$A64,"")</f>
        <v/>
      </c>
      <c r="W12" s="105" t="s">
        <v>27</v>
      </c>
      <c r="X12" s="106" t="s">
        <v>39</v>
      </c>
      <c r="Y12" s="102">
        <f t="shared" si="7"/>
        <v>199</v>
      </c>
      <c r="Z12" s="99" t="str">
        <f t="array" ref="Z12">XLOOKUP(AA12,'Death Counter'!$B$6:$B64,'Death Counter'!$A$6:$A64,"")</f>
        <v/>
      </c>
      <c r="AA12" s="105" t="s">
        <v>27</v>
      </c>
      <c r="AB12" s="103" t="s">
        <v>45</v>
      </c>
      <c r="AC12" s="102">
        <f t="shared" si="8"/>
        <v>261</v>
      </c>
      <c r="AD12" s="99" t="str">
        <f t="array" ref="AD12">XLOOKUP(AE12,'Death Counter'!$B$6:$B64,'Death Counter'!$A$6:$A64,"")</f>
        <v/>
      </c>
      <c r="AE12" s="105" t="s">
        <v>24</v>
      </c>
      <c r="AF12" s="103" t="s">
        <v>68</v>
      </c>
    </row>
    <row r="13">
      <c r="A13" s="102">
        <f t="shared" si="1"/>
        <v>11</v>
      </c>
      <c r="B13" s="99" t="str">
        <f t="array" ref="B13">XLOOKUP(C13,'Death Counter'!$B$6:$B64,'Death Counter'!$A$6:$A64,"")</f>
        <v/>
      </c>
      <c r="C13" s="100" t="s">
        <v>20</v>
      </c>
      <c r="D13" s="106" t="s">
        <v>69</v>
      </c>
      <c r="E13" s="102">
        <f t="shared" si="2"/>
        <v>67</v>
      </c>
      <c r="F13" s="99" t="str">
        <f t="array" ref="F13">XLOOKUP(G13,'Death Counter'!$B$6:$B64,'Death Counter'!$A$6:$A64,"")</f>
        <v/>
      </c>
      <c r="G13" s="100" t="s">
        <v>16</v>
      </c>
      <c r="H13" s="106" t="s">
        <v>56</v>
      </c>
      <c r="I13" s="102">
        <f t="shared" si="3"/>
        <v>128</v>
      </c>
      <c r="J13" s="99" t="str">
        <f t="array" ref="J13">XLOOKUP(K13,'Death Counter'!$B$6:$B64,'Death Counter'!$A$6:$A64,"")</f>
        <v/>
      </c>
      <c r="K13" s="105" t="s">
        <v>16</v>
      </c>
      <c r="L13" s="106" t="s">
        <v>34</v>
      </c>
      <c r="M13" s="102">
        <f t="shared" si="4"/>
        <v>163</v>
      </c>
      <c r="N13" s="99" t="str">
        <f t="array" ref="N13">XLOOKUP(O13,'Death Counter'!$B$6:$B64,'Death Counter'!$A$6:$A64,"")</f>
        <v/>
      </c>
      <c r="O13" s="105" t="s">
        <v>27</v>
      </c>
      <c r="P13" s="106" t="s">
        <v>37</v>
      </c>
      <c r="Q13" s="111"/>
      <c r="R13" s="112"/>
      <c r="S13" s="112"/>
      <c r="T13" s="113"/>
      <c r="U13" s="102">
        <f t="shared" si="6"/>
        <v>187</v>
      </c>
      <c r="V13" s="99" t="str">
        <f t="array" ref="V13">XLOOKUP(W13,'Death Counter'!$B$6:$B64,'Death Counter'!$A$6:$A64,"")</f>
        <v/>
      </c>
      <c r="W13" s="105" t="s">
        <v>14</v>
      </c>
      <c r="X13" s="106" t="s">
        <v>54</v>
      </c>
      <c r="Y13" s="102">
        <f t="shared" si="7"/>
        <v>200</v>
      </c>
      <c r="Z13" s="99" t="str">
        <f t="array" ref="Z13">XLOOKUP(AA13,'Death Counter'!$B$6:$B64,'Death Counter'!$A$6:$A64,"")</f>
        <v/>
      </c>
      <c r="AA13" s="105" t="s">
        <v>14</v>
      </c>
      <c r="AB13" s="103" t="s">
        <v>70</v>
      </c>
      <c r="AC13" s="102">
        <f t="shared" si="8"/>
        <v>262</v>
      </c>
      <c r="AD13" s="99" t="str">
        <f t="array" ref="AD13">XLOOKUP(AE13,'Death Counter'!$B$6:$B64,'Death Counter'!$A$6:$A64,"")</f>
        <v/>
      </c>
      <c r="AE13" s="105" t="s">
        <v>15</v>
      </c>
      <c r="AF13" s="103" t="s">
        <v>41</v>
      </c>
    </row>
    <row r="14">
      <c r="A14" s="102">
        <f t="shared" si="1"/>
        <v>12</v>
      </c>
      <c r="B14" s="99" t="str">
        <f t="array" ref="B14">XLOOKUP(C14,'Death Counter'!$B$6:$B64,'Death Counter'!$A$6:$A64,"")</f>
        <v/>
      </c>
      <c r="C14" s="100" t="s">
        <v>16</v>
      </c>
      <c r="D14" s="106" t="s">
        <v>57</v>
      </c>
      <c r="E14" s="102">
        <f t="shared" si="2"/>
        <v>68</v>
      </c>
      <c r="F14" s="99" t="str">
        <f t="array" ref="F14">XLOOKUP(G14,'Death Counter'!$B$6:$B64,'Death Counter'!$A$6:$A64,"")</f>
        <v/>
      </c>
      <c r="G14" s="100" t="s">
        <v>21</v>
      </c>
      <c r="H14" s="106" t="s">
        <v>41</v>
      </c>
      <c r="I14" s="102">
        <f t="shared" si="3"/>
        <v>129</v>
      </c>
      <c r="J14" s="99" t="str">
        <f t="array" ref="J14">XLOOKUP(K14,'Death Counter'!$B$6:$B64,'Death Counter'!$A$6:$A64,"")</f>
        <v/>
      </c>
      <c r="K14" s="105" t="s">
        <v>25</v>
      </c>
      <c r="L14" s="106" t="s">
        <v>56</v>
      </c>
      <c r="M14" s="102">
        <f t="shared" si="4"/>
        <v>164</v>
      </c>
      <c r="N14" s="99" t="str">
        <f t="array" ref="N14">XLOOKUP(O14,'Death Counter'!$B$6:$B64,'Death Counter'!$A$6:$A64,"")</f>
        <v/>
      </c>
      <c r="O14" s="105" t="s">
        <v>27</v>
      </c>
      <c r="P14" s="106" t="s">
        <v>44</v>
      </c>
      <c r="T14" s="114"/>
      <c r="U14" s="102">
        <f t="shared" si="6"/>
        <v>188</v>
      </c>
      <c r="V14" s="99" t="str">
        <f t="array" ref="V14">XLOOKUP(W14,'Death Counter'!$B$6:$B64,'Death Counter'!$A$6:$A64,"")</f>
        <v/>
      </c>
      <c r="W14" s="105" t="s">
        <v>16</v>
      </c>
      <c r="X14" s="106" t="s">
        <v>71</v>
      </c>
      <c r="Y14" s="98">
        <f t="shared" si="7"/>
        <v>201</v>
      </c>
      <c r="Z14" s="99" t="str">
        <f t="array" ref="Z14">XLOOKUP(AA14,'Death Counter'!$B$6:$B64,'Death Counter'!$A$6:$A64,"")</f>
        <v/>
      </c>
      <c r="AA14" s="100" t="s">
        <v>16</v>
      </c>
      <c r="AB14" s="106" t="s">
        <v>51</v>
      </c>
      <c r="AC14" s="98">
        <f t="shared" si="8"/>
        <v>263</v>
      </c>
      <c r="AD14" s="99" t="str">
        <f t="array" ref="AD14">XLOOKUP(AE14,'Death Counter'!$B$6:$B64,'Death Counter'!$A$6:$A64,"")</f>
        <v/>
      </c>
      <c r="AE14" s="100" t="s">
        <v>27</v>
      </c>
      <c r="AF14" s="106" t="s">
        <v>72</v>
      </c>
    </row>
    <row r="15">
      <c r="A15" s="102">
        <f t="shared" si="1"/>
        <v>13</v>
      </c>
      <c r="B15" s="99" t="str">
        <f t="array" ref="B15">XLOOKUP(C15,'Death Counter'!$B$6:$B64,'Death Counter'!$A$6:$A64,"")</f>
        <v/>
      </c>
      <c r="C15" s="100" t="s">
        <v>16</v>
      </c>
      <c r="D15" s="106" t="s">
        <v>47</v>
      </c>
      <c r="E15" s="102">
        <f t="shared" si="2"/>
        <v>69</v>
      </c>
      <c r="F15" s="99" t="str">
        <f t="array" ref="F15">XLOOKUP(G15,'Death Counter'!$B$6:$B64,'Death Counter'!$A$6:$A64,"")</f>
        <v/>
      </c>
      <c r="G15" s="100" t="s">
        <v>19</v>
      </c>
      <c r="H15" s="106" t="s">
        <v>34</v>
      </c>
      <c r="I15" s="102">
        <f t="shared" si="3"/>
        <v>130</v>
      </c>
      <c r="J15" s="99" t="str">
        <f t="array" ref="J15">XLOOKUP(K15,'Death Counter'!$B$6:$B64,'Death Counter'!$A$6:$A64,"")</f>
        <v/>
      </c>
      <c r="K15" s="105" t="s">
        <v>16</v>
      </c>
      <c r="L15" s="106" t="s">
        <v>39</v>
      </c>
      <c r="M15" s="102">
        <f t="shared" si="4"/>
        <v>165</v>
      </c>
      <c r="N15" s="99" t="str">
        <f t="array" ref="N15">XLOOKUP(O15,'Death Counter'!$B$6:$B64,'Death Counter'!$A$6:$A64,"")</f>
        <v/>
      </c>
      <c r="O15" s="100" t="s">
        <v>15</v>
      </c>
      <c r="P15" s="103" t="s">
        <v>40</v>
      </c>
      <c r="T15" s="114"/>
      <c r="U15" s="107">
        <f t="shared" si="6"/>
        <v>189</v>
      </c>
      <c r="V15" s="108" t="str">
        <f t="array" ref="V15">XLOOKUP(W15,'Death Counter'!$B$6:$B64,'Death Counter'!$A$6:$A64,"")</f>
        <v/>
      </c>
      <c r="W15" s="115" t="s">
        <v>21</v>
      </c>
      <c r="X15" s="110" t="s">
        <v>40</v>
      </c>
      <c r="Y15" s="102">
        <f t="shared" si="7"/>
        <v>202</v>
      </c>
      <c r="Z15" s="99" t="str">
        <f t="array" ref="Z15">XLOOKUP(AA15,'Death Counter'!$B$6:$B64,'Death Counter'!$A$6:$A64,"")</f>
        <v/>
      </c>
      <c r="AA15" s="116" t="s">
        <v>17</v>
      </c>
      <c r="AB15" s="103" t="s">
        <v>45</v>
      </c>
      <c r="AC15" s="102">
        <f t="shared" si="8"/>
        <v>264</v>
      </c>
      <c r="AD15" s="99" t="str">
        <f t="array" ref="AD15">XLOOKUP(AE15,'Death Counter'!$B$6:$B64,'Death Counter'!$A$6:$A64,"")</f>
        <v/>
      </c>
      <c r="AE15" s="100" t="s">
        <v>22</v>
      </c>
      <c r="AF15" s="103" t="s">
        <v>73</v>
      </c>
    </row>
    <row r="16">
      <c r="A16" s="102">
        <f t="shared" si="1"/>
        <v>14</v>
      </c>
      <c r="B16" s="99" t="str">
        <f t="array" ref="B16">XLOOKUP(C16,'Death Counter'!$B$6:$B64,'Death Counter'!$A$6:$A64,"")</f>
        <v/>
      </c>
      <c r="C16" s="100" t="s">
        <v>15</v>
      </c>
      <c r="D16" s="106" t="s">
        <v>47</v>
      </c>
      <c r="E16" s="102">
        <f t="shared" si="2"/>
        <v>70</v>
      </c>
      <c r="F16" s="99" t="str">
        <f t="array" ref="F16">XLOOKUP(G16,'Death Counter'!$B$6:$B64,'Death Counter'!$A$6:$A64,"")</f>
        <v/>
      </c>
      <c r="G16" s="100" t="s">
        <v>14</v>
      </c>
      <c r="H16" s="106" t="s">
        <v>48</v>
      </c>
      <c r="I16" s="102">
        <f t="shared" si="3"/>
        <v>131</v>
      </c>
      <c r="J16" s="99" t="str">
        <f t="array" ref="J16">XLOOKUP(K16,'Death Counter'!$B$6:$B64,'Death Counter'!$A$6:$A64,"")</f>
        <v/>
      </c>
      <c r="K16" s="105" t="s">
        <v>25</v>
      </c>
      <c r="L16" s="106" t="s">
        <v>56</v>
      </c>
      <c r="M16" s="107">
        <f t="shared" si="4"/>
        <v>166</v>
      </c>
      <c r="N16" s="108" t="str">
        <f t="array" ref="N16">XLOOKUP(O16,'Death Counter'!$B$6:$B64,'Death Counter'!$A$6:$A64,"")</f>
        <v/>
      </c>
      <c r="O16" s="115" t="s">
        <v>15</v>
      </c>
      <c r="P16" s="110" t="s">
        <v>74</v>
      </c>
      <c r="T16" s="114"/>
      <c r="U16" s="111"/>
      <c r="V16" s="112"/>
      <c r="W16" s="112"/>
      <c r="X16" s="113"/>
      <c r="Y16" s="102">
        <f t="shared" si="7"/>
        <v>203</v>
      </c>
      <c r="Z16" s="99" t="str">
        <f t="array" ref="Z16">XLOOKUP(AA16,'Death Counter'!$B$6:$B64,'Death Counter'!$A$6:$A64,"")</f>
        <v/>
      </c>
      <c r="AA16" s="116" t="s">
        <v>27</v>
      </c>
      <c r="AB16" s="117" t="s">
        <v>75</v>
      </c>
      <c r="AC16" s="102">
        <f t="shared" si="8"/>
        <v>265</v>
      </c>
      <c r="AD16" s="99" t="str">
        <f t="array" ref="AD16">XLOOKUP(AE16,'Death Counter'!$B$6:$B64,'Death Counter'!$A$6:$A64,"")</f>
        <v/>
      </c>
      <c r="AE16" s="100" t="s">
        <v>27</v>
      </c>
      <c r="AF16" s="106" t="s">
        <v>76</v>
      </c>
    </row>
    <row r="17">
      <c r="A17" s="102">
        <f t="shared" si="1"/>
        <v>15</v>
      </c>
      <c r="B17" s="99" t="str">
        <f t="array" ref="B17">XLOOKUP(C17,'Death Counter'!$B$6:$B64,'Death Counter'!$A$6:$A64,"")</f>
        <v/>
      </c>
      <c r="C17" s="100" t="s">
        <v>20</v>
      </c>
      <c r="D17" s="106" t="s">
        <v>39</v>
      </c>
      <c r="E17" s="102">
        <f t="shared" si="2"/>
        <v>71</v>
      </c>
      <c r="F17" s="99" t="str">
        <f t="array" ref="F17">XLOOKUP(G17,'Death Counter'!$B$6:$B64,'Death Counter'!$A$6:$A64,"")</f>
        <v/>
      </c>
      <c r="G17" s="100" t="s">
        <v>16</v>
      </c>
      <c r="H17" s="106" t="s">
        <v>34</v>
      </c>
      <c r="I17" s="102">
        <f t="shared" si="3"/>
        <v>132</v>
      </c>
      <c r="J17" s="99" t="str">
        <f t="array" ref="J17">XLOOKUP(K17,'Death Counter'!$B$6:$B64,'Death Counter'!$A$6:$A64,"")</f>
        <v/>
      </c>
      <c r="K17" s="105" t="s">
        <v>25</v>
      </c>
      <c r="L17" s="106" t="s">
        <v>39</v>
      </c>
      <c r="M17" s="111"/>
      <c r="N17" s="112"/>
      <c r="O17" s="112"/>
      <c r="P17" s="113"/>
      <c r="T17" s="114"/>
      <c r="X17" s="114"/>
      <c r="Y17" s="102">
        <f t="shared" si="7"/>
        <v>204</v>
      </c>
      <c r="Z17" s="99" t="str">
        <f t="array" ref="Z17">XLOOKUP(AA17,'Death Counter'!$B$6:$B64,'Death Counter'!$A$6:$A64,"")</f>
        <v/>
      </c>
      <c r="AA17" s="100" t="s">
        <v>16</v>
      </c>
      <c r="AB17" s="117" t="s">
        <v>75</v>
      </c>
      <c r="AC17" s="102">
        <f t="shared" si="8"/>
        <v>266</v>
      </c>
      <c r="AD17" s="99" t="str">
        <f t="array" ref="AD17">XLOOKUP(AE17,'Death Counter'!$B$6:$B64,'Death Counter'!$A$6:$A64,"")</f>
        <v/>
      </c>
      <c r="AE17" s="116" t="s">
        <v>14</v>
      </c>
      <c r="AF17" s="117" t="s">
        <v>77</v>
      </c>
    </row>
    <row r="18">
      <c r="A18" s="102">
        <f t="shared" si="1"/>
        <v>16</v>
      </c>
      <c r="B18" s="99" t="str">
        <f t="array" ref="B18">XLOOKUP(C18,'Death Counter'!$B$6:$B64,'Death Counter'!$A$6:$A64,"")</f>
        <v/>
      </c>
      <c r="C18" s="100" t="s">
        <v>27</v>
      </c>
      <c r="D18" s="106" t="s">
        <v>44</v>
      </c>
      <c r="E18" s="102">
        <f t="shared" si="2"/>
        <v>72</v>
      </c>
      <c r="F18" s="99" t="str">
        <f t="array" ref="F18">XLOOKUP(G18,'Death Counter'!$B$6:$B64,'Death Counter'!$A$6:$A64,"")</f>
        <v/>
      </c>
      <c r="G18" s="100" t="s">
        <v>21</v>
      </c>
      <c r="H18" s="103" t="s">
        <v>74</v>
      </c>
      <c r="I18" s="102">
        <f t="shared" si="3"/>
        <v>133</v>
      </c>
      <c r="J18" s="99" t="str">
        <f t="array" ref="J18">XLOOKUP(K18,'Death Counter'!$B$6:$B64,'Death Counter'!$A$6:$A64,"")</f>
        <v/>
      </c>
      <c r="K18" s="105" t="s">
        <v>25</v>
      </c>
      <c r="L18" s="106" t="s">
        <v>44</v>
      </c>
      <c r="P18" s="114"/>
      <c r="T18" s="114"/>
      <c r="X18" s="114"/>
      <c r="Y18" s="102">
        <f t="shared" si="7"/>
        <v>205</v>
      </c>
      <c r="Z18" s="99" t="str">
        <f t="array" ref="Z18">XLOOKUP(AA18,'Death Counter'!$B$6:$B64,'Death Counter'!$A$6:$A64,"")</f>
        <v/>
      </c>
      <c r="AA18" s="116" t="s">
        <v>17</v>
      </c>
      <c r="AB18" s="103" t="s">
        <v>45</v>
      </c>
      <c r="AC18" s="102">
        <f t="shared" si="8"/>
        <v>267</v>
      </c>
      <c r="AD18" s="99" t="str">
        <f t="array" ref="AD18">XLOOKUP(AE18,'Death Counter'!$B$6:$B64,'Death Counter'!$A$6:$A64,"")</f>
        <v/>
      </c>
      <c r="AE18" s="100" t="s">
        <v>26</v>
      </c>
      <c r="AF18" s="117" t="s">
        <v>77</v>
      </c>
    </row>
    <row r="19">
      <c r="A19" s="102">
        <f t="shared" si="1"/>
        <v>17</v>
      </c>
      <c r="B19" s="99" t="str">
        <f t="array" ref="B19">XLOOKUP(C19,'Death Counter'!$B$6:$B64,'Death Counter'!$A$6:$A64,"")</f>
        <v/>
      </c>
      <c r="C19" s="100" t="s">
        <v>18</v>
      </c>
      <c r="D19" s="106" t="s">
        <v>41</v>
      </c>
      <c r="E19" s="102">
        <f t="shared" si="2"/>
        <v>73</v>
      </c>
      <c r="F19" s="99" t="str">
        <f t="array" ref="F19">XLOOKUP(G19,'Death Counter'!$B$6:$B64,'Death Counter'!$A$6:$A64,"")</f>
        <v/>
      </c>
      <c r="G19" s="105" t="s">
        <v>13</v>
      </c>
      <c r="H19" s="106" t="s">
        <v>39</v>
      </c>
      <c r="I19" s="102">
        <f t="shared" si="3"/>
        <v>134</v>
      </c>
      <c r="J19" s="99" t="str">
        <f t="array" ref="J19">XLOOKUP(K19,'Death Counter'!$B$6:$B64,'Death Counter'!$A$6:$A64,"")</f>
        <v/>
      </c>
      <c r="K19" s="105" t="s">
        <v>25</v>
      </c>
      <c r="L19" s="106" t="s">
        <v>54</v>
      </c>
      <c r="P19" s="114"/>
      <c r="T19" s="114"/>
      <c r="X19" s="114"/>
      <c r="Y19" s="102">
        <f t="shared" si="7"/>
        <v>206</v>
      </c>
      <c r="Z19" s="99" t="str">
        <f t="array" ref="Z19">XLOOKUP(AA19,'Death Counter'!$B$6:$B64,'Death Counter'!$A$6:$A64,"")</f>
        <v/>
      </c>
      <c r="AA19" s="116" t="s">
        <v>14</v>
      </c>
      <c r="AB19" s="117" t="s">
        <v>75</v>
      </c>
      <c r="AC19" s="102">
        <f t="shared" si="8"/>
        <v>268</v>
      </c>
      <c r="AD19" s="99" t="str">
        <f t="array" ref="AD19">XLOOKUP(AE19,'Death Counter'!$B$6:$B64,'Death Counter'!$A$6:$A64,"")</f>
        <v/>
      </c>
      <c r="AE19" s="100" t="s">
        <v>27</v>
      </c>
      <c r="AF19" s="106" t="s">
        <v>39</v>
      </c>
    </row>
    <row r="20">
      <c r="A20" s="102">
        <f t="shared" si="1"/>
        <v>18</v>
      </c>
      <c r="B20" s="99" t="str">
        <f t="array" ref="B20">XLOOKUP(C20,'Death Counter'!$B$6:$B64,'Death Counter'!$A$6:$A64,"")</f>
        <v/>
      </c>
      <c r="C20" s="100" t="s">
        <v>16</v>
      </c>
      <c r="D20" s="106" t="s">
        <v>34</v>
      </c>
      <c r="E20" s="102">
        <f t="shared" si="2"/>
        <v>74</v>
      </c>
      <c r="F20" s="99" t="str">
        <f t="array" ref="F20">XLOOKUP(G20,'Death Counter'!$B$6:$B64,'Death Counter'!$A$6:$A64,"")</f>
        <v/>
      </c>
      <c r="G20" s="100" t="s">
        <v>21</v>
      </c>
      <c r="H20" s="106" t="s">
        <v>41</v>
      </c>
      <c r="I20" s="102">
        <f t="shared" si="3"/>
        <v>135</v>
      </c>
      <c r="J20" s="99" t="str">
        <f t="array" ref="J20">XLOOKUP(K20,'Death Counter'!$B$6:$B64,'Death Counter'!$A$6:$A64,"")</f>
        <v/>
      </c>
      <c r="K20" s="105" t="s">
        <v>14</v>
      </c>
      <c r="L20" s="103" t="s">
        <v>40</v>
      </c>
      <c r="P20" s="114"/>
      <c r="T20" s="114"/>
      <c r="X20" s="114"/>
      <c r="Y20" s="102">
        <f t="shared" si="7"/>
        <v>207</v>
      </c>
      <c r="Z20" s="99" t="str">
        <f t="array" ref="Z20">XLOOKUP(AA20,'Death Counter'!$B$6:$B64,'Death Counter'!$A$6:$A64,"")</f>
        <v/>
      </c>
      <c r="AA20" s="116" t="s">
        <v>27</v>
      </c>
      <c r="AB20" s="117" t="s">
        <v>70</v>
      </c>
      <c r="AC20" s="102">
        <f t="shared" si="8"/>
        <v>269</v>
      </c>
      <c r="AD20" s="99" t="str">
        <f t="array" ref="AD20">XLOOKUP(AE20,'Death Counter'!$B$6:$B64,'Death Counter'!$A$6:$A64,"")</f>
        <v/>
      </c>
      <c r="AE20" s="100" t="s">
        <v>22</v>
      </c>
      <c r="AF20" s="106" t="s">
        <v>39</v>
      </c>
    </row>
    <row r="21">
      <c r="A21" s="102">
        <f t="shared" si="1"/>
        <v>19</v>
      </c>
      <c r="B21" s="99" t="str">
        <f t="array" ref="B21">XLOOKUP(C21,'Death Counter'!$B$6:$B64,'Death Counter'!$A$6:$A64,"")</f>
        <v/>
      </c>
      <c r="C21" s="100" t="s">
        <v>25</v>
      </c>
      <c r="D21" s="106" t="s">
        <v>39</v>
      </c>
      <c r="E21" s="102">
        <f t="shared" si="2"/>
        <v>75</v>
      </c>
      <c r="F21" s="99" t="str">
        <f t="array" ref="F21">XLOOKUP(G21,'Death Counter'!$B$6:$B64,'Death Counter'!$A$6:$A64,"")</f>
        <v/>
      </c>
      <c r="G21" s="100" t="s">
        <v>14</v>
      </c>
      <c r="H21" s="103" t="s">
        <v>78</v>
      </c>
      <c r="I21" s="102">
        <f t="shared" si="3"/>
        <v>136</v>
      </c>
      <c r="J21" s="99" t="str">
        <f t="array" ref="J21">XLOOKUP(K21,'Death Counter'!$B$6:$B64,'Death Counter'!$A$6:$A64,"")</f>
        <v/>
      </c>
      <c r="K21" s="105" t="s">
        <v>26</v>
      </c>
      <c r="L21" s="103" t="s">
        <v>40</v>
      </c>
      <c r="P21" s="114"/>
      <c r="T21" s="114"/>
      <c r="X21" s="114"/>
      <c r="Y21" s="102">
        <f t="shared" si="7"/>
        <v>208</v>
      </c>
      <c r="Z21" s="99" t="str">
        <f t="array" ref="Z21">XLOOKUP(AA21,'Death Counter'!$B$6:$B64,'Death Counter'!$A$6:$A64,"")</f>
        <v/>
      </c>
      <c r="AA21" s="116" t="s">
        <v>27</v>
      </c>
      <c r="AB21" s="103" t="s">
        <v>45</v>
      </c>
      <c r="AC21" s="102">
        <f t="shared" si="8"/>
        <v>270</v>
      </c>
      <c r="AD21" s="99" t="str">
        <f t="array" ref="AD21">XLOOKUP(AE21,'Death Counter'!$B$6:$B64,'Death Counter'!$A$6:$A64,"")</f>
        <v/>
      </c>
      <c r="AE21" s="100" t="s">
        <v>22</v>
      </c>
      <c r="AF21" s="106" t="s">
        <v>79</v>
      </c>
    </row>
    <row r="22">
      <c r="A22" s="102">
        <f t="shared" si="1"/>
        <v>20</v>
      </c>
      <c r="B22" s="99" t="str">
        <f t="array" ref="B22">XLOOKUP(C22,'Death Counter'!$B$6:$B64,'Death Counter'!$A$6:$A64,"")</f>
        <v/>
      </c>
      <c r="C22" s="100" t="s">
        <v>25</v>
      </c>
      <c r="D22" s="106" t="s">
        <v>34</v>
      </c>
      <c r="E22" s="102">
        <f t="shared" si="2"/>
        <v>76</v>
      </c>
      <c r="F22" s="99" t="str">
        <f t="array" ref="F22">XLOOKUP(G22,'Death Counter'!$B$6:$B64,'Death Counter'!$A$6:$A64,"")</f>
        <v/>
      </c>
      <c r="G22" s="100" t="s">
        <v>19</v>
      </c>
      <c r="H22" s="106" t="s">
        <v>39</v>
      </c>
      <c r="I22" s="102">
        <f t="shared" si="3"/>
        <v>137</v>
      </c>
      <c r="J22" s="99" t="str">
        <f t="array" ref="J22">XLOOKUP(K22,'Death Counter'!$B$6:$B64,'Death Counter'!$A$6:$A64,"")</f>
        <v/>
      </c>
      <c r="K22" s="105" t="s">
        <v>24</v>
      </c>
      <c r="L22" s="103" t="s">
        <v>40</v>
      </c>
      <c r="P22" s="114"/>
      <c r="T22" s="114"/>
      <c r="X22" s="114"/>
      <c r="Y22" s="102">
        <f t="shared" si="7"/>
        <v>209</v>
      </c>
      <c r="Z22" s="99" t="str">
        <f t="array" ref="Z22">XLOOKUP(AA22,'Death Counter'!$B$6:$B64,'Death Counter'!$A$6:$A64,"")</f>
        <v/>
      </c>
      <c r="AA22" s="116" t="s">
        <v>14</v>
      </c>
      <c r="AB22" s="117" t="s">
        <v>70</v>
      </c>
      <c r="AC22" s="102">
        <f t="shared" si="8"/>
        <v>271</v>
      </c>
      <c r="AD22" s="99" t="str">
        <f t="array" ref="AD22">XLOOKUP(AE22,'Death Counter'!$B$6:$B64,'Death Counter'!$A$6:$A64,"")</f>
        <v/>
      </c>
      <c r="AE22" s="100" t="s">
        <v>22</v>
      </c>
      <c r="AF22" s="117" t="s">
        <v>80</v>
      </c>
    </row>
    <row r="23">
      <c r="A23" s="102">
        <f t="shared" si="1"/>
        <v>21</v>
      </c>
      <c r="B23" s="99" t="str">
        <f t="array" ref="B23">XLOOKUP(C23,'Death Counter'!$B$6:$B64,'Death Counter'!$A$6:$A64,"")</f>
        <v/>
      </c>
      <c r="C23" s="100" t="s">
        <v>25</v>
      </c>
      <c r="D23" s="106" t="s">
        <v>56</v>
      </c>
      <c r="E23" s="102">
        <f t="shared" si="2"/>
        <v>77</v>
      </c>
      <c r="F23" s="99" t="str">
        <f t="array" ref="F23">XLOOKUP(G23,'Death Counter'!$B$6:$B64,'Death Counter'!$A$6:$A64,"")</f>
        <v/>
      </c>
      <c r="G23" s="100" t="s">
        <v>21</v>
      </c>
      <c r="H23" s="103" t="s">
        <v>74</v>
      </c>
      <c r="I23" s="102">
        <f t="shared" si="3"/>
        <v>138</v>
      </c>
      <c r="J23" s="99" t="str">
        <f t="array" ref="J23">XLOOKUP(K23,'Death Counter'!$B$6:$B64,'Death Counter'!$A$6:$A64,"")</f>
        <v/>
      </c>
      <c r="K23" s="105" t="s">
        <v>16</v>
      </c>
      <c r="L23" s="103" t="s">
        <v>40</v>
      </c>
      <c r="P23" s="114"/>
      <c r="T23" s="114"/>
      <c r="X23" s="114"/>
      <c r="Y23" s="102">
        <f t="shared" si="7"/>
        <v>210</v>
      </c>
      <c r="Z23" s="99" t="str">
        <f t="array" ref="Z23">XLOOKUP(AA23,'Death Counter'!$B$6:$B64,'Death Counter'!$A$6:$A64,"")</f>
        <v/>
      </c>
      <c r="AA23" s="100" t="s">
        <v>16</v>
      </c>
      <c r="AB23" s="117" t="s">
        <v>70</v>
      </c>
      <c r="AC23" s="102">
        <f t="shared" si="8"/>
        <v>272</v>
      </c>
      <c r="AD23" s="99" t="str">
        <f t="array" ref="AD23">XLOOKUP(AE23,'Death Counter'!$B$6:$B64,'Death Counter'!$A$6:$A64,"")</f>
        <v/>
      </c>
      <c r="AE23" s="100" t="s">
        <v>25</v>
      </c>
      <c r="AF23" s="117" t="s">
        <v>41</v>
      </c>
    </row>
    <row r="24">
      <c r="A24" s="102">
        <f t="shared" si="1"/>
        <v>22</v>
      </c>
      <c r="B24" s="99" t="str">
        <f t="array" ref="B24">XLOOKUP(C24,'Death Counter'!$B$6:$B64,'Death Counter'!$A$6:$A64,"")</f>
        <v/>
      </c>
      <c r="C24" s="100" t="s">
        <v>15</v>
      </c>
      <c r="D24" s="106" t="s">
        <v>34</v>
      </c>
      <c r="E24" s="102">
        <f t="shared" si="2"/>
        <v>78</v>
      </c>
      <c r="F24" s="99" t="str">
        <f t="array" ref="F24">XLOOKUP(G24,'Death Counter'!$B$6:$B64,'Death Counter'!$A$6:$A64,"")</f>
        <v/>
      </c>
      <c r="G24" s="100" t="s">
        <v>21</v>
      </c>
      <c r="H24" s="103" t="s">
        <v>40</v>
      </c>
      <c r="I24" s="102">
        <f t="shared" si="3"/>
        <v>139</v>
      </c>
      <c r="J24" s="99" t="str">
        <f t="array" ref="J24">XLOOKUP(K24,'Death Counter'!$B$6:$B64,'Death Counter'!$A$6:$A64,"")</f>
        <v/>
      </c>
      <c r="K24" s="105" t="s">
        <v>16</v>
      </c>
      <c r="L24" s="103" t="s">
        <v>40</v>
      </c>
      <c r="P24" s="114"/>
      <c r="T24" s="114"/>
      <c r="X24" s="114"/>
      <c r="Y24" s="102">
        <f t="shared" si="7"/>
        <v>211</v>
      </c>
      <c r="Z24" s="99" t="str">
        <f t="array" ref="Z24">XLOOKUP(AA24,'Death Counter'!$B$6:$B64,'Death Counter'!$A$6:$A64,"")</f>
        <v/>
      </c>
      <c r="AA24" s="116" t="s">
        <v>27</v>
      </c>
      <c r="AB24" s="103" t="s">
        <v>45</v>
      </c>
      <c r="AC24" s="102">
        <f t="shared" si="8"/>
        <v>273</v>
      </c>
      <c r="AD24" s="99" t="str">
        <f t="array" ref="AD24">XLOOKUP(AE24,'Death Counter'!$B$6:$B64,'Death Counter'!$A$6:$A64,"")</f>
        <v/>
      </c>
      <c r="AE24" s="100" t="s">
        <v>22</v>
      </c>
      <c r="AF24" s="117" t="s">
        <v>80</v>
      </c>
    </row>
    <row r="25">
      <c r="A25" s="102">
        <f t="shared" si="1"/>
        <v>23</v>
      </c>
      <c r="B25" s="99" t="str">
        <f t="array" ref="B25">XLOOKUP(C25,'Death Counter'!$B$6:$B64,'Death Counter'!$A$6:$A64,"")</f>
        <v/>
      </c>
      <c r="C25" s="100" t="s">
        <v>26</v>
      </c>
      <c r="D25" s="106" t="s">
        <v>39</v>
      </c>
      <c r="E25" s="102">
        <f t="shared" si="2"/>
        <v>79</v>
      </c>
      <c r="F25" s="99" t="str">
        <f t="array" ref="F25">XLOOKUP(G25,'Death Counter'!$B$6:$B64,'Death Counter'!$A$6:$A64,"")</f>
        <v/>
      </c>
      <c r="G25" s="105" t="s">
        <v>24</v>
      </c>
      <c r="H25" s="106" t="s">
        <v>39</v>
      </c>
      <c r="I25" s="102">
        <f t="shared" si="3"/>
        <v>140</v>
      </c>
      <c r="J25" s="99" t="str">
        <f t="array" ref="J25">XLOOKUP(K25,'Death Counter'!$B$6:$B64,'Death Counter'!$A$6:$A64,"")</f>
        <v/>
      </c>
      <c r="K25" s="105" t="s">
        <v>25</v>
      </c>
      <c r="L25" s="103" t="s">
        <v>81</v>
      </c>
      <c r="P25" s="114"/>
      <c r="T25" s="114"/>
      <c r="X25" s="114"/>
      <c r="Y25" s="102">
        <f t="shared" si="7"/>
        <v>212</v>
      </c>
      <c r="Z25" s="99" t="str">
        <f t="array" ref="Z25">XLOOKUP(AA25,'Death Counter'!$B$6:$B64,'Death Counter'!$A$6:$A64,"")</f>
        <v/>
      </c>
      <c r="AA25" s="116" t="s">
        <v>14</v>
      </c>
      <c r="AB25" s="117" t="s">
        <v>75</v>
      </c>
      <c r="AC25" s="102">
        <f t="shared" si="8"/>
        <v>274</v>
      </c>
      <c r="AD25" s="99" t="str">
        <f t="array" ref="AD25">XLOOKUP(AE25,'Death Counter'!$B$6:$B64,'Death Counter'!$A$6:$A64,"")</f>
        <v/>
      </c>
      <c r="AE25" s="116" t="s">
        <v>19</v>
      </c>
      <c r="AF25" s="106" t="s">
        <v>76</v>
      </c>
    </row>
    <row r="26">
      <c r="A26" s="102">
        <f t="shared" si="1"/>
        <v>24</v>
      </c>
      <c r="B26" s="99" t="str">
        <f t="array" ref="B26">XLOOKUP(C26,'Death Counter'!$B$6:$B64,'Death Counter'!$A$6:$A64,"")</f>
        <v/>
      </c>
      <c r="C26" s="100" t="s">
        <v>26</v>
      </c>
      <c r="D26" s="106" t="s">
        <v>34</v>
      </c>
      <c r="E26" s="102">
        <f t="shared" si="2"/>
        <v>80</v>
      </c>
      <c r="F26" s="99" t="str">
        <f t="array" ref="F26">XLOOKUP(G26,'Death Counter'!$B$6:$B64,'Death Counter'!$A$6:$A64,"")</f>
        <v/>
      </c>
      <c r="G26" s="105" t="s">
        <v>24</v>
      </c>
      <c r="H26" s="103" t="s">
        <v>82</v>
      </c>
      <c r="I26" s="102">
        <f t="shared" si="3"/>
        <v>141</v>
      </c>
      <c r="J26" s="99" t="str">
        <f t="array" ref="J26">XLOOKUP(K26,'Death Counter'!$B$6:$B64,'Death Counter'!$A$6:$A64,"")</f>
        <v/>
      </c>
      <c r="K26" s="105" t="s">
        <v>26</v>
      </c>
      <c r="L26" s="103" t="s">
        <v>42</v>
      </c>
      <c r="P26" s="114"/>
      <c r="T26" s="114"/>
      <c r="X26" s="114"/>
      <c r="Y26" s="102">
        <f t="shared" si="7"/>
        <v>213</v>
      </c>
      <c r="Z26" s="99" t="str">
        <f t="array" ref="Z26">XLOOKUP(AA26,'Death Counter'!$B$6:$B64,'Death Counter'!$A$6:$A64,"")</f>
        <v/>
      </c>
      <c r="AA26" s="100" t="s">
        <v>16</v>
      </c>
      <c r="AB26" s="103" t="s">
        <v>45</v>
      </c>
      <c r="AC26" s="102">
        <f t="shared" si="8"/>
        <v>275</v>
      </c>
      <c r="AD26" s="99" t="str">
        <f t="array" ref="AD26">XLOOKUP(AE26,'Death Counter'!$B$6:$B64,'Death Counter'!$A$6:$A64,"")</f>
        <v/>
      </c>
      <c r="AE26" s="105" t="s">
        <v>25</v>
      </c>
      <c r="AF26" s="103" t="s">
        <v>73</v>
      </c>
    </row>
    <row r="27">
      <c r="A27" s="102">
        <f t="shared" si="1"/>
        <v>25</v>
      </c>
      <c r="B27" s="99" t="str">
        <f t="array" ref="B27">XLOOKUP(C27,'Death Counter'!$B$6:$B64,'Death Counter'!$A$6:$A64,"")</f>
        <v/>
      </c>
      <c r="C27" s="100" t="s">
        <v>16</v>
      </c>
      <c r="D27" s="106" t="s">
        <v>34</v>
      </c>
      <c r="E27" s="102">
        <f t="shared" si="2"/>
        <v>81</v>
      </c>
      <c r="F27" s="99" t="str">
        <f t="array" ref="F27">XLOOKUP(G27,'Death Counter'!$B$6:$B64,'Death Counter'!$A$6:$A64,"")</f>
        <v/>
      </c>
      <c r="G27" s="100" t="s">
        <v>19</v>
      </c>
      <c r="H27" s="106" t="s">
        <v>44</v>
      </c>
      <c r="I27" s="102">
        <f t="shared" si="3"/>
        <v>142</v>
      </c>
      <c r="J27" s="99" t="str">
        <f t="array" ref="J27">XLOOKUP(K27,'Death Counter'!$B$6:$B64,'Death Counter'!$A$6:$A64,"")</f>
        <v/>
      </c>
      <c r="K27" s="105" t="s">
        <v>25</v>
      </c>
      <c r="L27" s="103" t="s">
        <v>42</v>
      </c>
      <c r="P27" s="114"/>
      <c r="T27" s="114"/>
      <c r="X27" s="114"/>
      <c r="Y27" s="102">
        <f t="shared" si="7"/>
        <v>214</v>
      </c>
      <c r="Z27" s="99" t="str">
        <f t="array" ref="Z27">XLOOKUP(AA27,'Death Counter'!$B$6:$B64,'Death Counter'!$A$6:$A64,"")</f>
        <v/>
      </c>
      <c r="AA27" s="116" t="s">
        <v>27</v>
      </c>
      <c r="AB27" s="103" t="s">
        <v>45</v>
      </c>
      <c r="AC27" s="102">
        <f t="shared" si="8"/>
        <v>276</v>
      </c>
      <c r="AD27" s="99" t="str">
        <f t="array" ref="AD27">XLOOKUP(AE27,'Death Counter'!$B$6:$B64,'Death Counter'!$A$6:$A64,"")</f>
        <v/>
      </c>
      <c r="AE27" s="116" t="s">
        <v>19</v>
      </c>
      <c r="AF27" s="103" t="s">
        <v>83</v>
      </c>
    </row>
    <row r="28">
      <c r="A28" s="102">
        <f t="shared" si="1"/>
        <v>26</v>
      </c>
      <c r="B28" s="99" t="str">
        <f t="array" ref="B28">XLOOKUP(C28,'Death Counter'!$B$6:$B64,'Death Counter'!$A$6:$A64,"")</f>
        <v/>
      </c>
      <c r="C28" s="100" t="s">
        <v>16</v>
      </c>
      <c r="D28" s="106" t="s">
        <v>56</v>
      </c>
      <c r="E28" s="102">
        <f t="shared" si="2"/>
        <v>82</v>
      </c>
      <c r="F28" s="99" t="str">
        <f t="array" ref="F28">XLOOKUP(G28,'Death Counter'!$B$6:$B64,'Death Counter'!$A$6:$A64,"")</f>
        <v/>
      </c>
      <c r="G28" s="105" t="s">
        <v>13</v>
      </c>
      <c r="H28" s="103" t="s">
        <v>84</v>
      </c>
      <c r="I28" s="102">
        <f t="shared" si="3"/>
        <v>143</v>
      </c>
      <c r="J28" s="99" t="str">
        <f t="array" ref="J28">XLOOKUP(K28,'Death Counter'!$B$6:$B64,'Death Counter'!$A$6:$A64,"")</f>
        <v/>
      </c>
      <c r="K28" s="105" t="s">
        <v>16</v>
      </c>
      <c r="L28" s="103" t="s">
        <v>85</v>
      </c>
      <c r="P28" s="114"/>
      <c r="T28" s="114"/>
      <c r="X28" s="114"/>
      <c r="Y28" s="102">
        <f t="shared" si="7"/>
        <v>215</v>
      </c>
      <c r="Z28" s="99" t="str">
        <f t="array" ref="Z28">XLOOKUP(AA28,'Death Counter'!$B$6:$B64,'Death Counter'!$A$6:$A64,"")</f>
        <v/>
      </c>
      <c r="AA28" s="116" t="s">
        <v>14</v>
      </c>
      <c r="AB28" s="117" t="s">
        <v>75</v>
      </c>
      <c r="AC28" s="102">
        <f t="shared" si="8"/>
        <v>277</v>
      </c>
      <c r="AD28" s="99" t="str">
        <f t="array" ref="AD28">XLOOKUP(AE28,'Death Counter'!$B$6:$B64,'Death Counter'!$A$6:$A64,"")</f>
        <v/>
      </c>
      <c r="AE28" s="116" t="s">
        <v>26</v>
      </c>
      <c r="AF28" s="106" t="s">
        <v>86</v>
      </c>
    </row>
    <row r="29">
      <c r="A29" s="102">
        <f t="shared" si="1"/>
        <v>27</v>
      </c>
      <c r="B29" s="99" t="str">
        <f t="array" ref="B29">XLOOKUP(C29,'Death Counter'!$B$6:$B64,'Death Counter'!$A$6:$A64,"")</f>
        <v/>
      </c>
      <c r="C29" s="100" t="s">
        <v>16</v>
      </c>
      <c r="D29" s="106" t="s">
        <v>54</v>
      </c>
      <c r="E29" s="102">
        <f t="shared" si="2"/>
        <v>83</v>
      </c>
      <c r="F29" s="99" t="str">
        <f t="array" ref="F29">XLOOKUP(G29,'Death Counter'!$B$6:$B64,'Death Counter'!$A$6:$A64,"")</f>
        <v/>
      </c>
      <c r="G29" s="100" t="s">
        <v>21</v>
      </c>
      <c r="H29" s="103" t="s">
        <v>49</v>
      </c>
      <c r="I29" s="102">
        <f t="shared" si="3"/>
        <v>144</v>
      </c>
      <c r="J29" s="99" t="str">
        <f t="array" ref="J29">XLOOKUP(K29,'Death Counter'!$B$6:$B64,'Death Counter'!$A$6:$A64,"")</f>
        <v/>
      </c>
      <c r="K29" s="105" t="s">
        <v>25</v>
      </c>
      <c r="L29" s="103" t="s">
        <v>87</v>
      </c>
      <c r="P29" s="114"/>
      <c r="T29" s="114"/>
      <c r="X29" s="114"/>
      <c r="Y29" s="102">
        <f t="shared" si="7"/>
        <v>216</v>
      </c>
      <c r="Z29" s="99" t="str">
        <f t="array" ref="Z29">XLOOKUP(AA29,'Death Counter'!$B$6:$B64,'Death Counter'!$A$6:$A64,"")</f>
        <v/>
      </c>
      <c r="AA29" s="116" t="s">
        <v>27</v>
      </c>
      <c r="AB29" s="117" t="s">
        <v>75</v>
      </c>
      <c r="AC29" s="102">
        <f t="shared" si="8"/>
        <v>278</v>
      </c>
      <c r="AD29" s="99" t="str">
        <f t="array" ref="AD29">XLOOKUP(AE29,'Death Counter'!$B$6:$B64,'Death Counter'!$A$6:$A64,"")</f>
        <v/>
      </c>
      <c r="AE29" s="100" t="s">
        <v>22</v>
      </c>
      <c r="AF29" s="106" t="s">
        <v>88</v>
      </c>
    </row>
    <row r="30">
      <c r="A30" s="102">
        <f t="shared" si="1"/>
        <v>28</v>
      </c>
      <c r="B30" s="99" t="str">
        <f t="array" ref="B30">XLOOKUP(C30,'Death Counter'!$B$6:$B64,'Death Counter'!$A$6:$A64,"")</f>
        <v/>
      </c>
      <c r="C30" s="100" t="s">
        <v>16</v>
      </c>
      <c r="D30" s="106" t="s">
        <v>34</v>
      </c>
      <c r="E30" s="102">
        <f t="shared" si="2"/>
        <v>84</v>
      </c>
      <c r="F30" s="99" t="str">
        <f t="array" ref="F30">XLOOKUP(G30,'Death Counter'!$B$6:$B64,'Death Counter'!$A$6:$A64,"")</f>
        <v/>
      </c>
      <c r="G30" s="100" t="s">
        <v>14</v>
      </c>
      <c r="H30" s="106" t="s">
        <v>44</v>
      </c>
      <c r="I30" s="102">
        <f t="shared" si="3"/>
        <v>145</v>
      </c>
      <c r="J30" s="99" t="str">
        <f t="array" ref="J30">XLOOKUP(K30,'Death Counter'!$B$6:$B64,'Death Counter'!$A$6:$A64,"")</f>
        <v/>
      </c>
      <c r="K30" s="105" t="s">
        <v>16</v>
      </c>
      <c r="L30" s="103" t="s">
        <v>42</v>
      </c>
      <c r="P30" s="114"/>
      <c r="T30" s="114"/>
      <c r="X30" s="114"/>
      <c r="Y30" s="102">
        <f t="shared" si="7"/>
        <v>217</v>
      </c>
      <c r="Z30" s="99" t="str">
        <f t="array" ref="Z30">XLOOKUP(AA30,'Death Counter'!$B$6:$B64,'Death Counter'!$A$6:$A64,"")</f>
        <v/>
      </c>
      <c r="AA30" s="100" t="s">
        <v>16</v>
      </c>
      <c r="AB30" s="103" t="s">
        <v>45</v>
      </c>
      <c r="AC30" s="102">
        <f t="shared" si="8"/>
        <v>279</v>
      </c>
      <c r="AD30" s="99" t="str">
        <f t="array" ref="AD30">XLOOKUP(AE30,'Death Counter'!$B$6:$B64,'Death Counter'!$A$6:$A64,"")</f>
        <v/>
      </c>
      <c r="AE30" s="100" t="s">
        <v>24</v>
      </c>
      <c r="AF30" s="106" t="s">
        <v>39</v>
      </c>
    </row>
    <row r="31">
      <c r="A31" s="102">
        <f t="shared" si="1"/>
        <v>29</v>
      </c>
      <c r="B31" s="99" t="str">
        <f t="array" ref="B31">XLOOKUP(C31,'Death Counter'!$B$6:$B64,'Death Counter'!$A$6:$A64,"")</f>
        <v/>
      </c>
      <c r="C31" s="100" t="s">
        <v>16</v>
      </c>
      <c r="D31" s="106" t="s">
        <v>41</v>
      </c>
      <c r="E31" s="102">
        <f t="shared" si="2"/>
        <v>85</v>
      </c>
      <c r="F31" s="99" t="str">
        <f t="array" ref="F31">XLOOKUP(G31,'Death Counter'!$B$6:$B64,'Death Counter'!$A$6:$A64,"")</f>
        <v/>
      </c>
      <c r="G31" s="100" t="s">
        <v>20</v>
      </c>
      <c r="H31" s="103" t="s">
        <v>49</v>
      </c>
      <c r="I31" s="102">
        <f t="shared" si="3"/>
        <v>146</v>
      </c>
      <c r="J31" s="99" t="str">
        <f t="array" ref="J31">XLOOKUP(K31,'Death Counter'!$B$6:$B64,'Death Counter'!$A$6:$A64,"")</f>
        <v/>
      </c>
      <c r="K31" s="105" t="s">
        <v>25</v>
      </c>
      <c r="L31" s="103" t="s">
        <v>89</v>
      </c>
      <c r="P31" s="114"/>
      <c r="T31" s="114"/>
      <c r="X31" s="114"/>
      <c r="Y31" s="102">
        <f t="shared" si="7"/>
        <v>218</v>
      </c>
      <c r="Z31" s="99" t="str">
        <f t="array" ref="Z31">XLOOKUP(AA31,'Death Counter'!$B$6:$B64,'Death Counter'!$A$6:$A64,"")</f>
        <v/>
      </c>
      <c r="AA31" s="116" t="s">
        <v>27</v>
      </c>
      <c r="AB31" s="103" t="s">
        <v>45</v>
      </c>
      <c r="AC31" s="102">
        <f t="shared" si="8"/>
        <v>280</v>
      </c>
      <c r="AD31" s="99" t="str">
        <f t="array" ref="AD31">XLOOKUP(AE31,'Death Counter'!$B$6:$B64,'Death Counter'!$A$6:$A64,"")</f>
        <v/>
      </c>
      <c r="AE31" s="116" t="s">
        <v>20</v>
      </c>
      <c r="AF31" s="106" t="s">
        <v>90</v>
      </c>
    </row>
    <row r="32">
      <c r="A32" s="102">
        <f t="shared" si="1"/>
        <v>30</v>
      </c>
      <c r="B32" s="99" t="str">
        <f t="array" ref="B32">XLOOKUP(C32,'Death Counter'!$B$6:$B64,'Death Counter'!$A$6:$A64,"")</f>
        <v/>
      </c>
      <c r="C32" s="100" t="s">
        <v>16</v>
      </c>
      <c r="D32" s="106" t="s">
        <v>48</v>
      </c>
      <c r="E32" s="102">
        <f t="shared" si="2"/>
        <v>86</v>
      </c>
      <c r="F32" s="99" t="str">
        <f t="array" ref="F32">XLOOKUP(G32,'Death Counter'!$B$6:$B64,'Death Counter'!$A$6:$A64,"")</f>
        <v/>
      </c>
      <c r="G32" s="100" t="s">
        <v>14</v>
      </c>
      <c r="H32" s="103" t="s">
        <v>49</v>
      </c>
      <c r="I32" s="102">
        <f t="shared" si="3"/>
        <v>147</v>
      </c>
      <c r="J32" s="99" t="str">
        <f t="array" ref="J32">XLOOKUP(K32,'Death Counter'!$B$6:$B64,'Death Counter'!$A$6:$A64,"")</f>
        <v/>
      </c>
      <c r="K32" s="105" t="s">
        <v>25</v>
      </c>
      <c r="L32" s="103" t="s">
        <v>42</v>
      </c>
      <c r="P32" s="114"/>
      <c r="T32" s="114"/>
      <c r="X32" s="114"/>
      <c r="Y32" s="102">
        <f t="shared" si="7"/>
        <v>219</v>
      </c>
      <c r="Z32" s="99" t="str">
        <f t="array" ref="Z32">XLOOKUP(AA32,'Death Counter'!$B$6:$B64,'Death Counter'!$A$6:$A64,"")</f>
        <v/>
      </c>
      <c r="AA32" s="116" t="s">
        <v>17</v>
      </c>
      <c r="AB32" s="117" t="s">
        <v>75</v>
      </c>
      <c r="AC32" s="102">
        <f t="shared" si="8"/>
        <v>281</v>
      </c>
      <c r="AD32" s="99" t="str">
        <f t="array" ref="AD32">XLOOKUP(AE32,'Death Counter'!$B$6:$B64,'Death Counter'!$A$6:$A64,"")</f>
        <v/>
      </c>
      <c r="AE32" s="116" t="s">
        <v>19</v>
      </c>
      <c r="AF32" s="106" t="s">
        <v>90</v>
      </c>
    </row>
    <row r="33">
      <c r="A33" s="102">
        <f t="shared" si="1"/>
        <v>31</v>
      </c>
      <c r="B33" s="99" t="str">
        <f t="array" ref="B33">XLOOKUP(C33,'Death Counter'!$B$6:$B64,'Death Counter'!$A$6:$A64,"")</f>
        <v/>
      </c>
      <c r="C33" s="100" t="s">
        <v>26</v>
      </c>
      <c r="D33" s="106" t="s">
        <v>34</v>
      </c>
      <c r="E33" s="102">
        <f t="shared" si="2"/>
        <v>87</v>
      </c>
      <c r="F33" s="99" t="str">
        <f t="array" ref="F33">XLOOKUP(G33,'Death Counter'!$B$6:$B64,'Death Counter'!$A$6:$A64,"")</f>
        <v/>
      </c>
      <c r="G33" s="100" t="s">
        <v>14</v>
      </c>
      <c r="H33" s="106" t="s">
        <v>43</v>
      </c>
      <c r="I33" s="102">
        <f t="shared" si="3"/>
        <v>148</v>
      </c>
      <c r="J33" s="99" t="str">
        <f t="array" ref="J33">XLOOKUP(K33,'Death Counter'!$B$6:$B64,'Death Counter'!$A$6:$A64,"")</f>
        <v/>
      </c>
      <c r="K33" s="105" t="s">
        <v>26</v>
      </c>
      <c r="L33" s="103" t="s">
        <v>87</v>
      </c>
      <c r="P33" s="114"/>
      <c r="T33" s="114"/>
      <c r="X33" s="114"/>
      <c r="Y33" s="102">
        <f t="shared" si="7"/>
        <v>220</v>
      </c>
      <c r="Z33" s="99" t="str">
        <f t="array" ref="Z33">XLOOKUP(AA33,'Death Counter'!$B$6:$B64,'Death Counter'!$A$6:$A64,"")</f>
        <v/>
      </c>
      <c r="AA33" s="116" t="s">
        <v>17</v>
      </c>
      <c r="AB33" s="117" t="s">
        <v>91</v>
      </c>
      <c r="AC33" s="102">
        <f t="shared" si="8"/>
        <v>282</v>
      </c>
      <c r="AD33" s="99" t="str">
        <f t="array" ref="AD33">XLOOKUP(AE33,'Death Counter'!$B$6:$B64,'Death Counter'!$A$6:$A64,"")</f>
        <v/>
      </c>
      <c r="AE33" s="100" t="s">
        <v>22</v>
      </c>
      <c r="AF33" s="103" t="s">
        <v>73</v>
      </c>
    </row>
    <row r="34">
      <c r="A34" s="102">
        <f t="shared" si="1"/>
        <v>32</v>
      </c>
      <c r="B34" s="99" t="str">
        <f t="array" ref="B34">XLOOKUP(C34,'Death Counter'!$B$6:$B64,'Death Counter'!$A$6:$A64,"")</f>
        <v/>
      </c>
      <c r="C34" s="100" t="s">
        <v>15</v>
      </c>
      <c r="D34" s="106" t="s">
        <v>34</v>
      </c>
      <c r="E34" s="102">
        <f t="shared" si="2"/>
        <v>88</v>
      </c>
      <c r="F34" s="99" t="str">
        <f t="array" ref="F34">XLOOKUP(G34,'Death Counter'!$B$6:$B64,'Death Counter'!$A$6:$A64,"")</f>
        <v/>
      </c>
      <c r="G34" s="100" t="s">
        <v>14</v>
      </c>
      <c r="H34" s="103" t="s">
        <v>49</v>
      </c>
      <c r="I34" s="102">
        <f t="shared" si="3"/>
        <v>149</v>
      </c>
      <c r="J34" s="99" t="str">
        <f t="array" ref="J34">XLOOKUP(K34,'Death Counter'!$B$6:$B64,'Death Counter'!$A$6:$A64,"")</f>
        <v/>
      </c>
      <c r="K34" s="105" t="s">
        <v>25</v>
      </c>
      <c r="L34" s="103" t="s">
        <v>42</v>
      </c>
      <c r="P34" s="114"/>
      <c r="T34" s="114"/>
      <c r="X34" s="114"/>
      <c r="Y34" s="102">
        <f t="shared" si="7"/>
        <v>221</v>
      </c>
      <c r="Z34" s="99" t="str">
        <f t="array" ref="Z34">XLOOKUP(AA34,'Death Counter'!$B$6:$B64,'Death Counter'!$A$6:$A64,"")</f>
        <v/>
      </c>
      <c r="AA34" s="116" t="s">
        <v>27</v>
      </c>
      <c r="AB34" s="117" t="s">
        <v>92</v>
      </c>
      <c r="AC34" s="102">
        <f t="shared" si="8"/>
        <v>283</v>
      </c>
      <c r="AD34" s="99" t="str">
        <f t="array" ref="AD34">XLOOKUP(AE34,'Death Counter'!$B$6:$B64,'Death Counter'!$A$6:$A64,"")</f>
        <v/>
      </c>
      <c r="AE34" s="116" t="s">
        <v>20</v>
      </c>
      <c r="AF34" s="106" t="s">
        <v>39</v>
      </c>
    </row>
    <row r="35">
      <c r="A35" s="102">
        <f t="shared" si="1"/>
        <v>33</v>
      </c>
      <c r="B35" s="99" t="str">
        <f t="array" ref="B35">XLOOKUP(C35,'Death Counter'!$B$6:$B64,'Death Counter'!$A$6:$A64,"")</f>
        <v/>
      </c>
      <c r="C35" s="100" t="s">
        <v>26</v>
      </c>
      <c r="D35" s="106" t="s">
        <v>34</v>
      </c>
      <c r="E35" s="102">
        <f t="shared" si="2"/>
        <v>89</v>
      </c>
      <c r="F35" s="99" t="str">
        <f t="array" ref="F35">XLOOKUP(G35,'Death Counter'!$B$6:$B64,'Death Counter'!$A$6:$A64,"")</f>
        <v/>
      </c>
      <c r="G35" s="105" t="s">
        <v>13</v>
      </c>
      <c r="H35" s="106" t="s">
        <v>35</v>
      </c>
      <c r="I35" s="102">
        <f t="shared" si="3"/>
        <v>150</v>
      </c>
      <c r="J35" s="99" t="str">
        <f t="array" ref="J35">XLOOKUP(K35,'Death Counter'!$B$6:$B64,'Death Counter'!$A$6:$A64,"")</f>
        <v/>
      </c>
      <c r="K35" s="105" t="s">
        <v>16</v>
      </c>
      <c r="L35" s="103" t="s">
        <v>42</v>
      </c>
      <c r="P35" s="114"/>
      <c r="T35" s="114"/>
      <c r="X35" s="114"/>
      <c r="Y35" s="102">
        <f t="shared" si="7"/>
        <v>222</v>
      </c>
      <c r="Z35" s="99" t="str">
        <f t="array" ref="Z35">XLOOKUP(AA35,'Death Counter'!$B$6:$B64,'Death Counter'!$A$6:$A64,"")</f>
        <v/>
      </c>
      <c r="AA35" s="116" t="s">
        <v>14</v>
      </c>
      <c r="AB35" s="103" t="s">
        <v>45</v>
      </c>
      <c r="AC35" s="102">
        <f t="shared" si="8"/>
        <v>284</v>
      </c>
      <c r="AD35" s="99" t="str">
        <f t="array" ref="AD35">XLOOKUP(AE35,'Death Counter'!$B$6:$B64,'Death Counter'!$A$6:$A64,"")</f>
        <v/>
      </c>
      <c r="AE35" s="100" t="s">
        <v>22</v>
      </c>
      <c r="AF35" s="117" t="s">
        <v>93</v>
      </c>
    </row>
    <row r="36">
      <c r="A36" s="102">
        <f t="shared" si="1"/>
        <v>34</v>
      </c>
      <c r="B36" s="99" t="str">
        <f t="array" ref="B36">XLOOKUP(C36,'Death Counter'!$B$6:$B64,'Death Counter'!$A$6:$A64,"")</f>
        <v/>
      </c>
      <c r="C36" s="100" t="s">
        <v>15</v>
      </c>
      <c r="D36" s="106" t="s">
        <v>44</v>
      </c>
      <c r="E36" s="102">
        <f t="shared" si="2"/>
        <v>90</v>
      </c>
      <c r="F36" s="99" t="str">
        <f t="array" ref="F36">XLOOKUP(G36,'Death Counter'!$B$6:$B64,'Death Counter'!$A$6:$A64,"")</f>
        <v/>
      </c>
      <c r="G36" s="105" t="s">
        <v>26</v>
      </c>
      <c r="H36" s="103" t="s">
        <v>82</v>
      </c>
      <c r="I36" s="102">
        <f t="shared" si="3"/>
        <v>151</v>
      </c>
      <c r="J36" s="99" t="str">
        <f t="array" ref="J36">XLOOKUP(K36,'Death Counter'!$B$6:$B64,'Death Counter'!$A$6:$A64,"")</f>
        <v/>
      </c>
      <c r="K36" s="105" t="s">
        <v>24</v>
      </c>
      <c r="L36" s="103" t="s">
        <v>26</v>
      </c>
      <c r="P36" s="114"/>
      <c r="T36" s="114"/>
      <c r="X36" s="114"/>
      <c r="Y36" s="102">
        <f t="shared" si="7"/>
        <v>223</v>
      </c>
      <c r="Z36" s="99" t="str">
        <f t="array" ref="Z36">XLOOKUP(AA36,'Death Counter'!$B$6:$B64,'Death Counter'!$A$6:$A64,"")</f>
        <v/>
      </c>
      <c r="AA36" s="100" t="s">
        <v>16</v>
      </c>
      <c r="AB36" s="117" t="s">
        <v>92</v>
      </c>
      <c r="AC36" s="102">
        <f t="shared" si="8"/>
        <v>285</v>
      </c>
      <c r="AD36" s="99" t="str">
        <f t="array" ref="AD36">XLOOKUP(AE36,'Death Counter'!$B$6:$B64,'Death Counter'!$A$6:$A64,"")</f>
        <v/>
      </c>
      <c r="AE36" s="100" t="s">
        <v>27</v>
      </c>
      <c r="AF36" s="106" t="s">
        <v>39</v>
      </c>
    </row>
    <row r="37">
      <c r="A37" s="102">
        <f t="shared" si="1"/>
        <v>35</v>
      </c>
      <c r="B37" s="99" t="str">
        <f t="array" ref="B37">XLOOKUP(C37,'Death Counter'!$B$6:$B64,'Death Counter'!$A$6:$A64,"")</f>
        <v/>
      </c>
      <c r="C37" s="100" t="s">
        <v>26</v>
      </c>
      <c r="D37" s="106" t="s">
        <v>56</v>
      </c>
      <c r="E37" s="102">
        <f t="shared" si="2"/>
        <v>91</v>
      </c>
      <c r="F37" s="99" t="str">
        <f t="array" ref="F37">XLOOKUP(G37,'Death Counter'!$B$6:$B64,'Death Counter'!$A$6:$A64,"")</f>
        <v/>
      </c>
      <c r="G37" s="105" t="s">
        <v>26</v>
      </c>
      <c r="H37" s="103" t="s">
        <v>82</v>
      </c>
      <c r="I37" s="107">
        <f t="shared" si="3"/>
        <v>152</v>
      </c>
      <c r="J37" s="108" t="str">
        <f t="array" ref="J37">XLOOKUP(K37,'Death Counter'!$B$6:$B64,'Death Counter'!$A$6:$A64,"")</f>
        <v/>
      </c>
      <c r="K37" s="109" t="s">
        <v>14</v>
      </c>
      <c r="L37" s="110" t="s">
        <v>57</v>
      </c>
      <c r="P37" s="114"/>
      <c r="T37" s="114"/>
      <c r="X37" s="114"/>
      <c r="Y37" s="102">
        <f t="shared" si="7"/>
        <v>224</v>
      </c>
      <c r="Z37" s="99" t="str">
        <f t="array" ref="Z37">XLOOKUP(AA37,'Death Counter'!$B$6:$B64,'Death Counter'!$A$6:$A64,"")</f>
        <v/>
      </c>
      <c r="AA37" s="116" t="s">
        <v>14</v>
      </c>
      <c r="AB37" s="103" t="s">
        <v>45</v>
      </c>
      <c r="AC37" s="107">
        <f t="shared" si="8"/>
        <v>286</v>
      </c>
      <c r="AD37" s="108" t="str">
        <f t="array" ref="AD37">XLOOKUP(AE37,'Death Counter'!$B$6:$B64,'Death Counter'!$A$6:$A64,"")</f>
        <v/>
      </c>
      <c r="AE37" s="118" t="s">
        <v>15</v>
      </c>
      <c r="AF37" s="119" t="s">
        <v>94</v>
      </c>
    </row>
    <row r="38">
      <c r="A38" s="102">
        <f t="shared" si="1"/>
        <v>36</v>
      </c>
      <c r="B38" s="99" t="str">
        <f t="array" ref="B38">XLOOKUP(C38,'Death Counter'!$B$6:$B64,'Death Counter'!$A$6:$A64,"")</f>
        <v/>
      </c>
      <c r="C38" s="100" t="s">
        <v>15</v>
      </c>
      <c r="D38" s="106" t="s">
        <v>48</v>
      </c>
      <c r="E38" s="102">
        <f t="shared" si="2"/>
        <v>92</v>
      </c>
      <c r="F38" s="99" t="str">
        <f t="array" ref="F38">XLOOKUP(G38,'Death Counter'!$B$6:$B64,'Death Counter'!$A$6:$A64,"")</f>
        <v/>
      </c>
      <c r="G38" s="100" t="s">
        <v>14</v>
      </c>
      <c r="H38" s="120" t="s">
        <v>49</v>
      </c>
      <c r="I38" s="121"/>
      <c r="J38" s="112"/>
      <c r="K38" s="112"/>
      <c r="L38" s="113"/>
      <c r="P38" s="114"/>
      <c r="T38" s="114"/>
      <c r="X38" s="114"/>
      <c r="Y38" s="102">
        <f t="shared" si="7"/>
        <v>225</v>
      </c>
      <c r="Z38" s="99" t="str">
        <f t="array" ref="Z38">XLOOKUP(AA38,'Death Counter'!$B$6:$B64,'Death Counter'!$A$6:$A64,"")</f>
        <v/>
      </c>
      <c r="AA38" s="116" t="s">
        <v>17</v>
      </c>
      <c r="AB38" s="117" t="s">
        <v>70</v>
      </c>
      <c r="AC38" s="122"/>
      <c r="AD38" s="123"/>
      <c r="AE38" s="123"/>
      <c r="AF38" s="124"/>
    </row>
    <row r="39">
      <c r="A39" s="102">
        <f t="shared" si="1"/>
        <v>37</v>
      </c>
      <c r="B39" s="99" t="str">
        <f t="array" ref="B39">XLOOKUP(C39,'Death Counter'!$B$6:$B64,'Death Counter'!$A$6:$A64,"")</f>
        <v/>
      </c>
      <c r="C39" s="100" t="s">
        <v>26</v>
      </c>
      <c r="D39" s="106" t="s">
        <v>56</v>
      </c>
      <c r="E39" s="102">
        <f t="shared" si="2"/>
        <v>93</v>
      </c>
      <c r="F39" s="99" t="str">
        <f t="array" ref="F39">XLOOKUP(G39,'Death Counter'!$B$6:$B64,'Death Counter'!$A$6:$A64,"")</f>
        <v/>
      </c>
      <c r="G39" s="100" t="s">
        <v>14</v>
      </c>
      <c r="H39" s="120" t="s">
        <v>95</v>
      </c>
      <c r="I39" s="125"/>
      <c r="L39" s="114"/>
      <c r="P39" s="114"/>
      <c r="T39" s="114"/>
      <c r="X39" s="114"/>
      <c r="Y39" s="102">
        <f t="shared" si="7"/>
        <v>226</v>
      </c>
      <c r="Z39" s="99" t="str">
        <f t="array" ref="Z39">XLOOKUP(AA39,'Death Counter'!$B$6:$B64,'Death Counter'!$A$6:$A64,"")</f>
        <v/>
      </c>
      <c r="AA39" s="100" t="s">
        <v>16</v>
      </c>
      <c r="AB39" s="103" t="s">
        <v>45</v>
      </c>
      <c r="AF39" s="6"/>
    </row>
    <row r="40">
      <c r="A40" s="102">
        <f t="shared" si="1"/>
        <v>38</v>
      </c>
      <c r="B40" s="99" t="str">
        <f t="array" ref="B40">XLOOKUP(C40,'Death Counter'!$B$6:$B64,'Death Counter'!$A$6:$A64,"")</f>
        <v/>
      </c>
      <c r="C40" s="100" t="s">
        <v>26</v>
      </c>
      <c r="D40" s="106" t="s">
        <v>41</v>
      </c>
      <c r="E40" s="102">
        <f t="shared" si="2"/>
        <v>94</v>
      </c>
      <c r="F40" s="99" t="str">
        <f t="array" ref="F40">XLOOKUP(G40,'Death Counter'!$B$6:$B64,'Death Counter'!$A$6:$A64,"")</f>
        <v/>
      </c>
      <c r="G40" s="100" t="s">
        <v>14</v>
      </c>
      <c r="H40" s="120" t="s">
        <v>95</v>
      </c>
      <c r="I40" s="125"/>
      <c r="L40" s="114"/>
      <c r="P40" s="114"/>
      <c r="T40" s="114"/>
      <c r="X40" s="114"/>
      <c r="Y40" s="102">
        <f t="shared" si="7"/>
        <v>227</v>
      </c>
      <c r="Z40" s="99" t="str">
        <f t="array" ref="Z40">XLOOKUP(AA40,'Death Counter'!$B$6:$B64,'Death Counter'!$A$6:$A64,"")</f>
        <v/>
      </c>
      <c r="AA40" s="116" t="s">
        <v>27</v>
      </c>
      <c r="AB40" s="117" t="s">
        <v>70</v>
      </c>
      <c r="AF40" s="6"/>
    </row>
    <row r="41">
      <c r="A41" s="102">
        <f t="shared" si="1"/>
        <v>39</v>
      </c>
      <c r="B41" s="99" t="str">
        <f t="array" ref="B41">XLOOKUP(C41,'Death Counter'!$B$6:$B64,'Death Counter'!$A$6:$A64,"")</f>
        <v/>
      </c>
      <c r="C41" s="100" t="s">
        <v>26</v>
      </c>
      <c r="D41" s="106" t="s">
        <v>96</v>
      </c>
      <c r="E41" s="102">
        <f t="shared" si="2"/>
        <v>95</v>
      </c>
      <c r="F41" s="99" t="str">
        <f t="array" ref="F41">XLOOKUP(G41,'Death Counter'!$B$6:$B64,'Death Counter'!$A$6:$A64,"")</f>
        <v/>
      </c>
      <c r="G41" s="100" t="s">
        <v>14</v>
      </c>
      <c r="H41" s="120" t="s">
        <v>49</v>
      </c>
      <c r="I41" s="125"/>
      <c r="L41" s="114"/>
      <c r="P41" s="114"/>
      <c r="T41" s="114"/>
      <c r="X41" s="114"/>
      <c r="Y41" s="102">
        <f t="shared" si="7"/>
        <v>228</v>
      </c>
      <c r="Z41" s="99" t="str">
        <f t="array" ref="Z41">XLOOKUP(AA41,'Death Counter'!$B$6:$B64,'Death Counter'!$A$6:$A64,"")</f>
        <v/>
      </c>
      <c r="AA41" s="116" t="s">
        <v>14</v>
      </c>
      <c r="AB41" s="117" t="s">
        <v>75</v>
      </c>
      <c r="AF41" s="6"/>
    </row>
    <row r="42">
      <c r="A42" s="102">
        <f t="shared" si="1"/>
        <v>40</v>
      </c>
      <c r="B42" s="99" t="str">
        <f t="array" ref="B42">XLOOKUP(C42,'Death Counter'!$B$6:$B64,'Death Counter'!$A$6:$A64,"")</f>
        <v/>
      </c>
      <c r="C42" s="100" t="s">
        <v>18</v>
      </c>
      <c r="D42" s="106" t="s">
        <v>34</v>
      </c>
      <c r="E42" s="102">
        <f t="shared" si="2"/>
        <v>96</v>
      </c>
      <c r="F42" s="99" t="str">
        <f t="array" ref="F42">XLOOKUP(G42,'Death Counter'!$B$6:$B64,'Death Counter'!$A$6:$A64,"")</f>
        <v/>
      </c>
      <c r="G42" s="100" t="s">
        <v>14</v>
      </c>
      <c r="H42" s="120" t="s">
        <v>49</v>
      </c>
      <c r="I42" s="125"/>
      <c r="L42" s="114"/>
      <c r="P42" s="114"/>
      <c r="T42" s="114"/>
      <c r="X42" s="114"/>
      <c r="Y42" s="102">
        <f t="shared" si="7"/>
        <v>229</v>
      </c>
      <c r="Z42" s="99" t="str">
        <f t="array" ref="Z42">XLOOKUP(AA42,'Death Counter'!$B$6:$B64,'Death Counter'!$A$6:$A64,"")</f>
        <v/>
      </c>
      <c r="AA42" s="116" t="s">
        <v>17</v>
      </c>
      <c r="AB42" s="117" t="s">
        <v>70</v>
      </c>
      <c r="AF42" s="6"/>
    </row>
    <row r="43">
      <c r="A43" s="102">
        <f t="shared" si="1"/>
        <v>41</v>
      </c>
      <c r="B43" s="99" t="str">
        <f t="array" ref="B43">XLOOKUP(C43,'Death Counter'!$B$6:$B64,'Death Counter'!$A$6:$A64,"")</f>
        <v/>
      </c>
      <c r="C43" s="100" t="s">
        <v>27</v>
      </c>
      <c r="D43" s="106" t="s">
        <v>56</v>
      </c>
      <c r="E43" s="102">
        <f t="shared" si="2"/>
        <v>97</v>
      </c>
      <c r="F43" s="99" t="str">
        <f t="array" ref="F43">XLOOKUP(G43,'Death Counter'!$B$6:$B64,'Death Counter'!$A$6:$A64,"")</f>
        <v/>
      </c>
      <c r="G43" s="100" t="s">
        <v>14</v>
      </c>
      <c r="H43" s="126" t="s">
        <v>44</v>
      </c>
      <c r="I43" s="125"/>
      <c r="L43" s="114"/>
      <c r="P43" s="114"/>
      <c r="T43" s="114"/>
      <c r="X43" s="114"/>
      <c r="Y43" s="102">
        <f t="shared" si="7"/>
        <v>230</v>
      </c>
      <c r="Z43" s="99" t="str">
        <f t="array" ref="Z43">XLOOKUP(AA43,'Death Counter'!$B$6:$B64,'Death Counter'!$A$6:$A64,"")</f>
        <v/>
      </c>
      <c r="AA43" s="116" t="s">
        <v>27</v>
      </c>
      <c r="AB43" s="117" t="s">
        <v>75</v>
      </c>
      <c r="AF43" s="6"/>
    </row>
    <row r="44">
      <c r="A44" s="102">
        <f t="shared" si="1"/>
        <v>42</v>
      </c>
      <c r="B44" s="99" t="str">
        <f t="array" ref="B44">XLOOKUP(C44,'Death Counter'!$B$6:$B64,'Death Counter'!$A$6:$A64,"")</f>
        <v/>
      </c>
      <c r="C44" s="100" t="s">
        <v>26</v>
      </c>
      <c r="D44" s="106" t="s">
        <v>34</v>
      </c>
      <c r="E44" s="102">
        <f t="shared" si="2"/>
        <v>98</v>
      </c>
      <c r="F44" s="99" t="str">
        <f t="array" ref="F44">XLOOKUP(G44,'Death Counter'!$B$6:$B64,'Death Counter'!$A$6:$A64,"")</f>
        <v/>
      </c>
      <c r="G44" s="100" t="s">
        <v>27</v>
      </c>
      <c r="H44" s="126" t="s">
        <v>34</v>
      </c>
      <c r="I44" s="125"/>
      <c r="L44" s="114"/>
      <c r="P44" s="114"/>
      <c r="T44" s="114"/>
      <c r="X44" s="114"/>
      <c r="Y44" s="102">
        <f t="shared" si="7"/>
        <v>231</v>
      </c>
      <c r="Z44" s="99" t="str">
        <f t="array" ref="Z44">XLOOKUP(AA44,'Death Counter'!$B$6:$B64,'Death Counter'!$A$6:$A64,"")</f>
        <v/>
      </c>
      <c r="AA44" s="100" t="s">
        <v>16</v>
      </c>
      <c r="AB44" s="117" t="s">
        <v>70</v>
      </c>
      <c r="AF44" s="6"/>
    </row>
    <row r="45">
      <c r="A45" s="102">
        <f t="shared" si="1"/>
        <v>43</v>
      </c>
      <c r="B45" s="99" t="str">
        <f t="array" ref="B45">XLOOKUP(C45,'Death Counter'!$B$6:$B64,'Death Counter'!$A$6:$A64,"")</f>
        <v/>
      </c>
      <c r="C45" s="100" t="s">
        <v>20</v>
      </c>
      <c r="D45" s="106" t="s">
        <v>48</v>
      </c>
      <c r="E45" s="102">
        <f t="shared" si="2"/>
        <v>99</v>
      </c>
      <c r="F45" s="99" t="str">
        <f t="array" ref="F45">XLOOKUP(G45,'Death Counter'!$B$6:$B64,'Death Counter'!$A$6:$A64,"")</f>
        <v/>
      </c>
      <c r="G45" s="100" t="s">
        <v>14</v>
      </c>
      <c r="H45" s="126" t="s">
        <v>39</v>
      </c>
      <c r="I45" s="125"/>
      <c r="L45" s="114"/>
      <c r="P45" s="114"/>
      <c r="T45" s="114"/>
      <c r="X45" s="114"/>
      <c r="Y45" s="102">
        <f t="shared" si="7"/>
        <v>232</v>
      </c>
      <c r="Z45" s="99" t="str">
        <f t="array" ref="Z45">XLOOKUP(AA45,'Death Counter'!$B$6:$B64,'Death Counter'!$A$6:$A64,"")</f>
        <v/>
      </c>
      <c r="AA45" s="116" t="s">
        <v>14</v>
      </c>
      <c r="AB45" s="117" t="s">
        <v>70</v>
      </c>
      <c r="AF45" s="6"/>
    </row>
    <row r="46">
      <c r="A46" s="102">
        <f t="shared" si="1"/>
        <v>44</v>
      </c>
      <c r="B46" s="99" t="str">
        <f t="array" ref="B46">XLOOKUP(C46,'Death Counter'!$B$6:$B64,'Death Counter'!$A$6:$A64,"")</f>
        <v/>
      </c>
      <c r="C46" s="100" t="s">
        <v>14</v>
      </c>
      <c r="D46" s="106" t="s">
        <v>34</v>
      </c>
      <c r="E46" s="102">
        <f t="shared" si="2"/>
        <v>100</v>
      </c>
      <c r="F46" s="99" t="str">
        <f t="array" ref="F46">XLOOKUP(G46,'Death Counter'!$B$6:$B64,'Death Counter'!$A$6:$A64,"")</f>
        <v/>
      </c>
      <c r="G46" s="100" t="s">
        <v>14</v>
      </c>
      <c r="H46" s="126" t="s">
        <v>34</v>
      </c>
      <c r="I46" s="125"/>
      <c r="L46" s="114"/>
      <c r="P46" s="114"/>
      <c r="T46" s="114"/>
      <c r="X46" s="114"/>
      <c r="Y46" s="102">
        <f t="shared" si="7"/>
        <v>233</v>
      </c>
      <c r="Z46" s="99" t="str">
        <f t="array" ref="Z46">XLOOKUP(AA46,'Death Counter'!$B$6:$B64,'Death Counter'!$A$6:$A64,"")</f>
        <v/>
      </c>
      <c r="AA46" s="100" t="s">
        <v>16</v>
      </c>
      <c r="AB46" s="117" t="s">
        <v>75</v>
      </c>
      <c r="AF46" s="6"/>
    </row>
    <row r="47">
      <c r="A47" s="102">
        <f t="shared" si="1"/>
        <v>45</v>
      </c>
      <c r="B47" s="99" t="str">
        <f t="array" ref="B47">XLOOKUP(C47,'Death Counter'!$B$6:$B64,'Death Counter'!$A$6:$A64,"")</f>
        <v/>
      </c>
      <c r="C47" s="100" t="s">
        <v>16</v>
      </c>
      <c r="D47" s="106" t="s">
        <v>41</v>
      </c>
      <c r="E47" s="102">
        <f t="shared" si="2"/>
        <v>101</v>
      </c>
      <c r="F47" s="99" t="str">
        <f t="array" ref="F47">XLOOKUP(G47,'Death Counter'!$B$6:$B64,'Death Counter'!$A$6:$A64,"")</f>
        <v/>
      </c>
      <c r="G47" s="100" t="s">
        <v>14</v>
      </c>
      <c r="H47" s="126" t="s">
        <v>44</v>
      </c>
      <c r="I47" s="125"/>
      <c r="L47" s="114"/>
      <c r="P47" s="114"/>
      <c r="T47" s="114"/>
      <c r="X47" s="114"/>
      <c r="Y47" s="102">
        <f t="shared" si="7"/>
        <v>234</v>
      </c>
      <c r="Z47" s="99" t="str">
        <f t="array" ref="Z47">XLOOKUP(AA47,'Death Counter'!$B$6:$B64,'Death Counter'!$A$6:$A64,"")</f>
        <v/>
      </c>
      <c r="AA47" s="116" t="s">
        <v>27</v>
      </c>
      <c r="AB47" s="117" t="s">
        <v>75</v>
      </c>
      <c r="AF47" s="6"/>
    </row>
    <row r="48">
      <c r="A48" s="102">
        <f t="shared" si="1"/>
        <v>46</v>
      </c>
      <c r="B48" s="99" t="str">
        <f t="array" ref="B48">XLOOKUP(C48,'Death Counter'!$B$6:$B64,'Death Counter'!$A$6:$A64,"")</f>
        <v/>
      </c>
      <c r="C48" s="100" t="s">
        <v>20</v>
      </c>
      <c r="D48" s="106" t="s">
        <v>56</v>
      </c>
      <c r="E48" s="102">
        <f t="shared" si="2"/>
        <v>102</v>
      </c>
      <c r="F48" s="99" t="str">
        <f t="array" ref="F48">XLOOKUP(G48,'Death Counter'!$B$6:$B64,'Death Counter'!$A$6:$A64,"")</f>
        <v/>
      </c>
      <c r="G48" s="105" t="s">
        <v>27</v>
      </c>
      <c r="H48" s="126" t="s">
        <v>41</v>
      </c>
      <c r="I48" s="125"/>
      <c r="L48" s="114"/>
      <c r="P48" s="114"/>
      <c r="T48" s="114"/>
      <c r="X48" s="114"/>
      <c r="Y48" s="102">
        <f t="shared" si="7"/>
        <v>235</v>
      </c>
      <c r="Z48" s="99" t="str">
        <f t="array" ref="Z48">XLOOKUP(AA48,'Death Counter'!$B$6:$B64,'Death Counter'!$A$6:$A64,"")</f>
        <v/>
      </c>
      <c r="AA48" s="116" t="s">
        <v>17</v>
      </c>
      <c r="AB48" s="103" t="s">
        <v>45</v>
      </c>
      <c r="AF48" s="6"/>
    </row>
    <row r="49">
      <c r="A49" s="102">
        <f t="shared" si="1"/>
        <v>47</v>
      </c>
      <c r="B49" s="99" t="str">
        <f t="array" ref="B49">XLOOKUP(C49,'Death Counter'!$B$6:$B64,'Death Counter'!$A$6:$A64,"")</f>
        <v/>
      </c>
      <c r="C49" s="100" t="s">
        <v>14</v>
      </c>
      <c r="D49" s="106" t="s">
        <v>41</v>
      </c>
      <c r="E49" s="102">
        <f t="shared" si="2"/>
        <v>103</v>
      </c>
      <c r="F49" s="99" t="str">
        <f t="array" ref="F49">XLOOKUP(G49,'Death Counter'!$B$6:$B64,'Death Counter'!$A$6:$A64,"")</f>
        <v/>
      </c>
      <c r="G49" s="105" t="s">
        <v>24</v>
      </c>
      <c r="H49" s="120" t="s">
        <v>84</v>
      </c>
      <c r="I49" s="125"/>
      <c r="L49" s="114"/>
      <c r="P49" s="114"/>
      <c r="T49" s="114"/>
      <c r="X49" s="114"/>
      <c r="Y49" s="102">
        <f t="shared" si="7"/>
        <v>236</v>
      </c>
      <c r="Z49" s="99" t="str">
        <f t="array" ref="Z49">XLOOKUP(AA49,'Death Counter'!$B$6:$B64,'Death Counter'!$A$6:$A64,"")</f>
        <v/>
      </c>
      <c r="AA49" s="100" t="s">
        <v>16</v>
      </c>
      <c r="AB49" s="103" t="s">
        <v>45</v>
      </c>
      <c r="AF49" s="6"/>
    </row>
    <row r="50">
      <c r="A50" s="102">
        <f t="shared" si="1"/>
        <v>48</v>
      </c>
      <c r="B50" s="99" t="str">
        <f t="array" ref="B50">XLOOKUP(C50,'Death Counter'!$B$6:$B64,'Death Counter'!$A$6:$A64,"")</f>
        <v/>
      </c>
      <c r="C50" s="100" t="s">
        <v>15</v>
      </c>
      <c r="D50" s="106" t="s">
        <v>41</v>
      </c>
      <c r="E50" s="102">
        <f t="shared" si="2"/>
        <v>104</v>
      </c>
      <c r="F50" s="99" t="str">
        <f t="array" ref="F50">XLOOKUP(G50,'Death Counter'!$B$6:$B64,'Death Counter'!$A$6:$A64,"")</f>
        <v/>
      </c>
      <c r="G50" s="105" t="s">
        <v>24</v>
      </c>
      <c r="H50" s="120" t="s">
        <v>94</v>
      </c>
      <c r="I50" s="125"/>
      <c r="L50" s="114"/>
      <c r="P50" s="114"/>
      <c r="T50" s="114"/>
      <c r="X50" s="114"/>
      <c r="Y50" s="102">
        <f t="shared" si="7"/>
        <v>237</v>
      </c>
      <c r="Z50" s="99" t="str">
        <f t="array" ref="Z50">XLOOKUP(AA50,'Death Counter'!$B$6:$B64,'Death Counter'!$A$6:$A64,"")</f>
        <v/>
      </c>
      <c r="AA50" s="116" t="s">
        <v>27</v>
      </c>
      <c r="AB50" s="117" t="s">
        <v>70</v>
      </c>
      <c r="AF50" s="6"/>
    </row>
    <row r="51">
      <c r="A51" s="102">
        <f t="shared" si="1"/>
        <v>49</v>
      </c>
      <c r="B51" s="99" t="str">
        <f t="array" ref="B51">XLOOKUP(C51,'Death Counter'!$B$6:$B64,'Death Counter'!$A$6:$A64,"")</f>
        <v/>
      </c>
      <c r="C51" s="100" t="s">
        <v>16</v>
      </c>
      <c r="D51" s="106" t="s">
        <v>41</v>
      </c>
      <c r="E51" s="102">
        <f t="shared" si="2"/>
        <v>105</v>
      </c>
      <c r="F51" s="99" t="str">
        <f t="array" ref="F51">XLOOKUP(G52,'Death Counter'!$B$6:$B64,'Death Counter'!$A$6:$A64,"")</f>
        <v/>
      </c>
      <c r="G51" s="105" t="s">
        <v>24</v>
      </c>
      <c r="H51" s="120" t="s">
        <v>94</v>
      </c>
      <c r="I51" s="125"/>
      <c r="L51" s="114"/>
      <c r="P51" s="114"/>
      <c r="T51" s="114"/>
      <c r="X51" s="114"/>
      <c r="Y51" s="102">
        <f t="shared" si="7"/>
        <v>238</v>
      </c>
      <c r="Z51" s="99" t="str">
        <f t="array" ref="Z51">XLOOKUP(AA51,'Death Counter'!$B$6:$B64,'Death Counter'!$A$6:$A64,"")</f>
        <v/>
      </c>
      <c r="AA51" s="116" t="s">
        <v>17</v>
      </c>
      <c r="AB51" s="117" t="s">
        <v>40</v>
      </c>
      <c r="AF51" s="6"/>
    </row>
    <row r="52">
      <c r="A52" s="102">
        <f t="shared" si="1"/>
        <v>50</v>
      </c>
      <c r="B52" s="99" t="str">
        <f t="array" ref="B52">XLOOKUP(C52,'Death Counter'!$B$6:$B64,'Death Counter'!$A$6:$A64,"")</f>
        <v/>
      </c>
      <c r="C52" s="100" t="s">
        <v>20</v>
      </c>
      <c r="D52" s="106" t="s">
        <v>34</v>
      </c>
      <c r="E52" s="102">
        <f t="shared" si="2"/>
        <v>106</v>
      </c>
      <c r="F52" s="99" t="str">
        <f t="array" ref="F52">XLOOKUP(G53,'Death Counter'!$B$6:$B64,'Death Counter'!$A$6:$A64,"")</f>
        <v/>
      </c>
      <c r="G52" s="105" t="s">
        <v>24</v>
      </c>
      <c r="H52" s="120" t="s">
        <v>82</v>
      </c>
      <c r="I52" s="125"/>
      <c r="L52" s="114"/>
      <c r="P52" s="114"/>
      <c r="T52" s="114"/>
      <c r="X52" s="114"/>
      <c r="Y52" s="102">
        <f t="shared" si="7"/>
        <v>239</v>
      </c>
      <c r="Z52" s="99" t="str">
        <f t="array" ref="Z52">XLOOKUP(AA52,'Death Counter'!$B$6:$B64,'Death Counter'!$A$6:$A64,"")</f>
        <v/>
      </c>
      <c r="AA52" s="100" t="s">
        <v>16</v>
      </c>
      <c r="AB52" s="117" t="s">
        <v>91</v>
      </c>
      <c r="AF52" s="6"/>
    </row>
    <row r="53">
      <c r="A53" s="102">
        <f t="shared" si="1"/>
        <v>51</v>
      </c>
      <c r="B53" s="99" t="str">
        <f t="array" ref="B53">XLOOKUP(C53,'Death Counter'!$B$6:$B64,'Death Counter'!$A$6:$A64,"")</f>
        <v/>
      </c>
      <c r="C53" s="100" t="s">
        <v>14</v>
      </c>
      <c r="D53" s="106" t="s">
        <v>34</v>
      </c>
      <c r="E53" s="102">
        <f t="shared" si="2"/>
        <v>107</v>
      </c>
      <c r="F53" s="99" t="str">
        <f t="array" ref="F53">XLOOKUP(G54,'Death Counter'!$B$6:$B64,'Death Counter'!$A$6:$A64,"")</f>
        <v/>
      </c>
      <c r="G53" s="105" t="s">
        <v>24</v>
      </c>
      <c r="H53" s="120" t="s">
        <v>94</v>
      </c>
      <c r="I53" s="125"/>
      <c r="L53" s="114"/>
      <c r="P53" s="114"/>
      <c r="T53" s="114"/>
      <c r="X53" s="114"/>
      <c r="Y53" s="102">
        <f t="shared" si="7"/>
        <v>240</v>
      </c>
      <c r="Z53" s="99" t="str">
        <f t="array" ref="Z53">XLOOKUP(AA53,'Death Counter'!$B$6:$B64,'Death Counter'!$A$6:$A64,"")</f>
        <v/>
      </c>
      <c r="AA53" s="100" t="s">
        <v>16</v>
      </c>
      <c r="AB53" s="117" t="s">
        <v>97</v>
      </c>
      <c r="AF53" s="6"/>
    </row>
    <row r="54">
      <c r="A54" s="102">
        <f t="shared" si="1"/>
        <v>52</v>
      </c>
      <c r="B54" s="99" t="str">
        <f t="array" ref="B54">XLOOKUP(C54,'Death Counter'!$B$6:$B64,'Death Counter'!$A$6:$A64,"")</f>
        <v/>
      </c>
      <c r="C54" s="100" t="s">
        <v>14</v>
      </c>
      <c r="D54" s="106" t="s">
        <v>41</v>
      </c>
      <c r="E54" s="102">
        <f t="shared" si="2"/>
        <v>108</v>
      </c>
      <c r="F54" s="99" t="str">
        <f t="array" ref="F54">XLOOKUP(G55,'Death Counter'!$B$6:$B64,'Death Counter'!$A$6:$A64,"")</f>
        <v/>
      </c>
      <c r="G54" s="105" t="s">
        <v>24</v>
      </c>
      <c r="H54" s="126" t="s">
        <v>35</v>
      </c>
      <c r="I54" s="125"/>
      <c r="L54" s="114"/>
      <c r="P54" s="114"/>
      <c r="T54" s="114"/>
      <c r="X54" s="114"/>
      <c r="Y54" s="102">
        <f t="shared" si="7"/>
        <v>241</v>
      </c>
      <c r="Z54" s="99" t="str">
        <f t="array" ref="Z54">XLOOKUP(AA54,'Death Counter'!$B$6:$B64,'Death Counter'!$A$6:$A64,"")</f>
        <v/>
      </c>
      <c r="AA54" s="116" t="s">
        <v>16</v>
      </c>
      <c r="AB54" s="117" t="s">
        <v>49</v>
      </c>
      <c r="AF54" s="6"/>
    </row>
    <row r="55">
      <c r="A55" s="102">
        <f t="shared" si="1"/>
        <v>53</v>
      </c>
      <c r="B55" s="99" t="str">
        <f t="array" ref="B55">XLOOKUP(C55,'Death Counter'!$B$6:$B64,'Death Counter'!$A$6:$A64,"")</f>
        <v/>
      </c>
      <c r="C55" s="100" t="s">
        <v>20</v>
      </c>
      <c r="D55" s="106" t="s">
        <v>41</v>
      </c>
      <c r="E55" s="102">
        <f t="shared" si="2"/>
        <v>109</v>
      </c>
      <c r="F55" s="99" t="str">
        <f t="array" ref="F55">XLOOKUP(G56,'Death Counter'!$B$6:$B64,'Death Counter'!$A$6:$A64,"")</f>
        <v/>
      </c>
      <c r="G55" s="105" t="s">
        <v>24</v>
      </c>
      <c r="H55" s="120" t="s">
        <v>82</v>
      </c>
      <c r="I55" s="125"/>
      <c r="L55" s="114"/>
      <c r="P55" s="114"/>
      <c r="T55" s="114"/>
      <c r="X55" s="114"/>
      <c r="Y55" s="102">
        <f t="shared" si="7"/>
        <v>242</v>
      </c>
      <c r="Z55" s="99" t="str">
        <f t="array" ref="Z55">XLOOKUP(AA55,'Death Counter'!$B$6:$B64,'Death Counter'!$A$6:$A64,"")</f>
        <v/>
      </c>
      <c r="AA55" s="116" t="s">
        <v>16</v>
      </c>
      <c r="AB55" s="103" t="s">
        <v>35</v>
      </c>
      <c r="AF55" s="6"/>
    </row>
    <row r="56">
      <c r="A56" s="102">
        <f t="shared" si="1"/>
        <v>54</v>
      </c>
      <c r="B56" s="99" t="str">
        <f t="array" ref="B56">XLOOKUP(C56,'Death Counter'!$B$6:$B64,'Death Counter'!$A$6:$A64,"")</f>
        <v/>
      </c>
      <c r="C56" s="100" t="s">
        <v>20</v>
      </c>
      <c r="D56" s="106" t="s">
        <v>34</v>
      </c>
      <c r="E56" s="102">
        <f t="shared" si="2"/>
        <v>110</v>
      </c>
      <c r="F56" s="99" t="str">
        <f t="array" ref="F56">XLOOKUP(G57,'Death Counter'!$B$6:$B64,'Death Counter'!$A$6:$A64,"")</f>
        <v/>
      </c>
      <c r="G56" s="105" t="s">
        <v>24</v>
      </c>
      <c r="H56" s="120" t="s">
        <v>82</v>
      </c>
      <c r="I56" s="125"/>
      <c r="L56" s="114"/>
      <c r="P56" s="114"/>
      <c r="T56" s="114"/>
      <c r="X56" s="114"/>
      <c r="Y56" s="102">
        <f t="shared" si="7"/>
        <v>243</v>
      </c>
      <c r="Z56" s="99" t="str">
        <f t="array" ref="Z56">XLOOKUP(AA56,'Death Counter'!$B$6:$B64,'Death Counter'!$A$6:$A64,"")</f>
        <v/>
      </c>
      <c r="AA56" s="100" t="s">
        <v>20</v>
      </c>
      <c r="AB56" s="106" t="s">
        <v>71</v>
      </c>
      <c r="AF56" s="6"/>
    </row>
    <row r="57">
      <c r="A57" s="102">
        <f t="shared" si="1"/>
        <v>55</v>
      </c>
      <c r="B57" s="99" t="str">
        <f t="array" ref="B57">XLOOKUP(C57,'Death Counter'!$B$6:$B64,'Death Counter'!$A$6:$A64,"")</f>
        <v/>
      </c>
      <c r="C57" s="100" t="s">
        <v>15</v>
      </c>
      <c r="D57" s="106" t="s">
        <v>98</v>
      </c>
      <c r="E57" s="102">
        <f t="shared" si="2"/>
        <v>111</v>
      </c>
      <c r="F57" s="99" t="str">
        <f t="array" ref="F57">XLOOKUP(G58,'Death Counter'!$B$6:$B64,'Death Counter'!$A$6:$A64,"")</f>
        <v/>
      </c>
      <c r="G57" s="105" t="s">
        <v>24</v>
      </c>
      <c r="H57" s="120" t="s">
        <v>82</v>
      </c>
      <c r="I57" s="125"/>
      <c r="L57" s="114"/>
      <c r="P57" s="114"/>
      <c r="T57" s="114"/>
      <c r="X57" s="114"/>
      <c r="Y57" s="102">
        <f t="shared" si="7"/>
        <v>244</v>
      </c>
      <c r="Z57" s="99" t="str">
        <f t="array" ref="Z57">XLOOKUP(AA57,'Death Counter'!$B$6:$B64,'Death Counter'!$A$6:$A64,"")</f>
        <v/>
      </c>
      <c r="AA57" s="100" t="s">
        <v>21</v>
      </c>
      <c r="AB57" s="103" t="s">
        <v>35</v>
      </c>
      <c r="AF57" s="6"/>
    </row>
    <row r="58">
      <c r="A58" s="107">
        <f t="shared" si="1"/>
        <v>56</v>
      </c>
      <c r="B58" s="108" t="str">
        <f t="array" ref="B58">XLOOKUP(C58,'Death Counter'!$B$6:$B64,'Death Counter'!$A$6:$A64,"")</f>
        <v/>
      </c>
      <c r="C58" s="115" t="s">
        <v>16</v>
      </c>
      <c r="D58" s="127" t="s">
        <v>41</v>
      </c>
      <c r="E58" s="102">
        <f t="shared" si="2"/>
        <v>112</v>
      </c>
      <c r="F58" s="99" t="str">
        <f t="array" ref="F58">XLOOKUP(G58,'Death Counter'!$B$6:$B64,'Death Counter'!$A$6:$A64,"")</f>
        <v/>
      </c>
      <c r="G58" s="105" t="s">
        <v>24</v>
      </c>
      <c r="H58" s="120" t="s">
        <v>94</v>
      </c>
      <c r="I58" s="125"/>
      <c r="L58" s="114"/>
      <c r="P58" s="114"/>
      <c r="T58" s="114"/>
      <c r="X58" s="114"/>
      <c r="Y58" s="102">
        <f t="shared" si="7"/>
        <v>245</v>
      </c>
      <c r="Z58" s="99" t="str">
        <f t="array" ref="Z58">XLOOKUP(AA58,'Death Counter'!$B$6:$B64,'Death Counter'!$A$6:$A64,"")</f>
        <v/>
      </c>
      <c r="AA58" s="100" t="s">
        <v>21</v>
      </c>
      <c r="AB58" s="103" t="s">
        <v>94</v>
      </c>
      <c r="AF58" s="6"/>
    </row>
    <row r="59">
      <c r="A59" s="111"/>
      <c r="B59" s="112"/>
      <c r="C59" s="112"/>
      <c r="D59" s="128"/>
      <c r="E59" s="102">
        <f t="shared" si="2"/>
        <v>113</v>
      </c>
      <c r="F59" s="99" t="str">
        <f t="array" ref="F59">XLOOKUP(G59,'Death Counter'!$B$6:$B64,'Death Counter'!$A$6:$A64,"")</f>
        <v/>
      </c>
      <c r="G59" s="100" t="s">
        <v>21</v>
      </c>
      <c r="H59" s="126" t="s">
        <v>39</v>
      </c>
      <c r="I59" s="125"/>
      <c r="L59" s="114"/>
      <c r="P59" s="114"/>
      <c r="T59" s="114"/>
      <c r="X59" s="114"/>
      <c r="Y59" s="102">
        <f t="shared" si="7"/>
        <v>246</v>
      </c>
      <c r="Z59" s="99" t="str">
        <f t="array" ref="Z59">XLOOKUP(AA59,'Death Counter'!$B$6:$B64,'Death Counter'!$A$6:$A64,"")</f>
        <v/>
      </c>
      <c r="AA59" s="100" t="s">
        <v>21</v>
      </c>
      <c r="AB59" s="117" t="s">
        <v>99</v>
      </c>
      <c r="AF59" s="6"/>
    </row>
    <row r="60">
      <c r="D60" s="6"/>
      <c r="E60" s="102">
        <f t="shared" si="2"/>
        <v>114</v>
      </c>
      <c r="F60" s="99" t="str">
        <f t="array" ref="F60">XLOOKUP(G60,'Death Counter'!$B$6:$B64,'Death Counter'!$A$6:$A64,"")</f>
        <v/>
      </c>
      <c r="G60" s="105" t="s">
        <v>24</v>
      </c>
      <c r="H60" s="120" t="s">
        <v>82</v>
      </c>
      <c r="I60" s="125"/>
      <c r="L60" s="114"/>
      <c r="P60" s="114"/>
      <c r="T60" s="114"/>
      <c r="X60" s="114"/>
      <c r="Y60" s="102">
        <f t="shared" si="7"/>
        <v>247</v>
      </c>
      <c r="Z60" s="99" t="str">
        <f t="array" ref="Z60">XLOOKUP(AA60,'Death Counter'!$B$6:$B64,'Death Counter'!$A$6:$A64,"")</f>
        <v/>
      </c>
      <c r="AA60" s="100" t="s">
        <v>16</v>
      </c>
      <c r="AB60" s="117" t="s">
        <v>40</v>
      </c>
      <c r="AF60" s="6"/>
    </row>
    <row r="61">
      <c r="D61" s="6"/>
      <c r="E61" s="102">
        <f t="shared" si="2"/>
        <v>115</v>
      </c>
      <c r="F61" s="99" t="str">
        <f t="array" ref="F61">XLOOKUP(G61,'Death Counter'!$B$6:$B64,'Death Counter'!$A$6:$A64,"")</f>
        <v/>
      </c>
      <c r="G61" s="105" t="s">
        <v>26</v>
      </c>
      <c r="H61" s="126" t="s">
        <v>39</v>
      </c>
      <c r="I61" s="125"/>
      <c r="L61" s="114"/>
      <c r="P61" s="114"/>
      <c r="T61" s="114"/>
      <c r="X61" s="114"/>
      <c r="Y61" s="102">
        <f t="shared" si="7"/>
        <v>248</v>
      </c>
      <c r="Z61" s="99" t="str">
        <f t="array" ref="Z61">XLOOKUP(AA61,'Death Counter'!$B$6:$B64,'Death Counter'!$A$6:$A64,"")</f>
        <v/>
      </c>
      <c r="AA61" s="100" t="s">
        <v>21</v>
      </c>
      <c r="AB61" s="117" t="s">
        <v>40</v>
      </c>
      <c r="AF61" s="6"/>
    </row>
    <row r="62">
      <c r="D62" s="6"/>
      <c r="E62" s="102">
        <f t="shared" si="2"/>
        <v>116</v>
      </c>
      <c r="F62" s="99" t="str">
        <f t="array" ref="F62">XLOOKUP(G62,'Death Counter'!$B$6:$B64,'Death Counter'!$A$6:$A64,"")</f>
        <v/>
      </c>
      <c r="G62" s="105" t="s">
        <v>26</v>
      </c>
      <c r="H62" s="120" t="s">
        <v>47</v>
      </c>
      <c r="I62" s="125"/>
      <c r="L62" s="114"/>
      <c r="P62" s="114"/>
      <c r="T62" s="114"/>
      <c r="X62" s="114"/>
      <c r="Y62" s="102">
        <f t="shared" si="7"/>
        <v>249</v>
      </c>
      <c r="Z62" s="99" t="str">
        <f t="array" ref="Z62">XLOOKUP(AA62,'Death Counter'!$B$6:$B64,'Death Counter'!$A$6:$A64,"")</f>
        <v/>
      </c>
      <c r="AA62" s="100" t="s">
        <v>22</v>
      </c>
      <c r="AB62" s="106" t="s">
        <v>56</v>
      </c>
      <c r="AF62" s="6"/>
    </row>
    <row r="63">
      <c r="D63" s="6"/>
      <c r="E63" s="107">
        <f t="shared" si="2"/>
        <v>117</v>
      </c>
      <c r="F63" s="108" t="str">
        <f t="array" ref="F63">XLOOKUP(G63,'Death Counter'!$B$6:$B64,'Death Counter'!$A$6:$A64,"")</f>
        <v/>
      </c>
      <c r="G63" s="109" t="s">
        <v>26</v>
      </c>
      <c r="H63" s="129" t="s">
        <v>47</v>
      </c>
      <c r="I63" s="125"/>
      <c r="L63" s="114"/>
      <c r="P63" s="114"/>
      <c r="T63" s="114"/>
      <c r="X63" s="114"/>
      <c r="Y63" s="102">
        <f t="shared" si="7"/>
        <v>250</v>
      </c>
      <c r="Z63" s="99" t="str">
        <f t="array" ref="Z63">XLOOKUP(AA63,'Death Counter'!$B$6:$B64,'Death Counter'!$A$6:$A64,"")</f>
        <v/>
      </c>
      <c r="AA63" s="100" t="s">
        <v>20</v>
      </c>
      <c r="AB63" s="117" t="s">
        <v>40</v>
      </c>
      <c r="AF63" s="6"/>
    </row>
    <row r="64">
      <c r="A64" s="130"/>
      <c r="B64" s="130"/>
      <c r="C64" s="130"/>
      <c r="D64" s="131"/>
      <c r="E64" s="132" t="str">
        <f t="array" ref="E64">XLOOKUP(G64,'Death Counter'!$B$6:$B64,'Death Counter'!$A$6:$A64,"")</f>
        <v/>
      </c>
      <c r="F64" s="133"/>
      <c r="G64" s="133"/>
      <c r="H64" s="134"/>
      <c r="I64" s="135"/>
      <c r="J64" s="130"/>
      <c r="K64" s="130"/>
      <c r="L64" s="136"/>
      <c r="M64" s="130"/>
      <c r="N64" s="130"/>
      <c r="O64" s="130"/>
      <c r="P64" s="136"/>
      <c r="Q64" s="130"/>
      <c r="R64" s="130"/>
      <c r="S64" s="130"/>
      <c r="T64" s="136"/>
      <c r="U64" s="130"/>
      <c r="V64" s="130"/>
      <c r="W64" s="130"/>
      <c r="X64" s="136"/>
      <c r="Y64" s="102">
        <f t="shared" si="7"/>
        <v>251</v>
      </c>
      <c r="Z64" s="99" t="str">
        <f t="array" ref="Z64">XLOOKUP(AA64,'Death Counter'!$B$6:$B64,'Death Counter'!$A$6:$A64,"")</f>
        <v/>
      </c>
      <c r="AA64" s="116" t="s">
        <v>14</v>
      </c>
      <c r="AB64" s="106" t="s">
        <v>54</v>
      </c>
      <c r="AF64" s="6"/>
    </row>
  </sheetData>
  <mergeCells count="23">
    <mergeCell ref="E1:H1"/>
    <mergeCell ref="I1:L1"/>
    <mergeCell ref="M1:P1"/>
    <mergeCell ref="Q1:T1"/>
    <mergeCell ref="U1:X1"/>
    <mergeCell ref="Y1:AB1"/>
    <mergeCell ref="AC1:AF1"/>
    <mergeCell ref="A1:D1"/>
    <mergeCell ref="B2:C2"/>
    <mergeCell ref="F2:G2"/>
    <mergeCell ref="J2:K2"/>
    <mergeCell ref="N2:O2"/>
    <mergeCell ref="R2:S2"/>
    <mergeCell ref="V2:W2"/>
    <mergeCell ref="A59:D64"/>
    <mergeCell ref="E64:H64"/>
    <mergeCell ref="Z2:AA2"/>
    <mergeCell ref="AD2:AE2"/>
    <mergeCell ref="Q13:T64"/>
    <mergeCell ref="U16:X64"/>
    <mergeCell ref="M17:P64"/>
    <mergeCell ref="I38:L64"/>
    <mergeCell ref="AC38:AF64"/>
  </mergeCells>
  <conditionalFormatting sqref="M7:O7 P7:P8 Q7:AE7 AF7:AF9">
    <cfRule type="containsText" dxfId="0" priority="1" operator="containsText" text="Akai Haato">
      <formula>NOT(ISERROR(SEARCH(("Akai Haato"),(M7))))</formula>
    </cfRule>
  </conditionalFormatting>
  <conditionalFormatting sqref="M7:O7 P7:P8 Q7:AE7 AF7:AF9">
    <cfRule type="containsText" dxfId="1" priority="2" operator="containsText" text="Aki Rosenthal">
      <formula>NOT(ISERROR(SEARCH(("Aki Rosenthal"),(M7))))</formula>
    </cfRule>
  </conditionalFormatting>
  <conditionalFormatting sqref="M7:O7 P7:P8 Q7:AE7 AF7:AF9">
    <cfRule type="containsText" dxfId="2" priority="3" operator="containsText" text="Ayunda Risu">
      <formula>NOT(ISERROR(SEARCH(("Ayunda Risu"),(M7))))</formula>
    </cfRule>
  </conditionalFormatting>
  <conditionalFormatting sqref="M7:O7 P7:P8 Q7:AE7 AF7:AF9">
    <cfRule type="containsText" dxfId="3" priority="4" operator="containsText" text="Kurokami Fubuki">
      <formula>NOT(ISERROR(SEARCH(("Kurokami Fubuki"),(M7))))</formula>
    </cfRule>
  </conditionalFormatting>
  <conditionalFormatting sqref="M7:O7 P7:P8 Q7:AE7 AF7:AF9">
    <cfRule type="containsText" dxfId="4" priority="5" operator="containsText" text="Ceres Fauna">
      <formula>NOT(ISERROR(SEARCH(("Ceres Fauna"),(M7))))</formula>
    </cfRule>
  </conditionalFormatting>
  <conditionalFormatting sqref="M7:O7 P7:P8 Q7:AE7 AF7:AF9">
    <cfRule type="containsText" dxfId="5" priority="6" operator="containsText" text="Shiori Novella">
      <formula>NOT(ISERROR(SEARCH(("Shiori Novella"),(M7))))</formula>
    </cfRule>
  </conditionalFormatting>
  <conditionalFormatting sqref="M7:O7 P7:P8 Q7:AE7 AF7:AF9">
    <cfRule type="containsText" dxfId="6" priority="7" operator="containsText" text="Staff (">
      <formula>NOT(ISERROR(SEARCH(("Staff ("),(M7))))</formula>
    </cfRule>
  </conditionalFormatting>
  <conditionalFormatting sqref="A1:AF64">
    <cfRule type="containsText" dxfId="7" priority="8" operator="containsText" text="Mori Calliope">
      <formula>NOT(ISERROR(SEARCH(("Mori Calliope"),(A1))))</formula>
    </cfRule>
  </conditionalFormatting>
  <conditionalFormatting sqref="A1:AF64">
    <cfRule type="containsText" dxfId="8" priority="9" operator="containsText" text="Takanashi Kiara">
      <formula>NOT(ISERROR(SEARCH(("Takanashi Kiara"),(A1))))</formula>
    </cfRule>
  </conditionalFormatting>
  <conditionalFormatting sqref="A1:AF64">
    <cfRule type="containsText" dxfId="9" priority="10" operator="containsText" text="Tokino Sora">
      <formula>NOT(ISERROR(SEARCH(("Tokino Sora"),(A1))))</formula>
    </cfRule>
  </conditionalFormatting>
  <conditionalFormatting sqref="A1:AF64">
    <cfRule type="containsText" dxfId="10" priority="11" operator="containsText" text="Roboco">
      <formula>NOT(ISERROR(SEARCH(("Roboco"),(A1))))</formula>
    </cfRule>
  </conditionalFormatting>
  <conditionalFormatting sqref="A1:AF64">
    <cfRule type="containsText" dxfId="11" priority="12" operator="containsText" text="AZKi">
      <formula>NOT(ISERROR(SEARCH(("AZKi"),(A1))))</formula>
    </cfRule>
  </conditionalFormatting>
  <conditionalFormatting sqref="A1:AF64">
    <cfRule type="containsText" dxfId="12" priority="13" operator="containsText" text="Hoshimachi Suisei">
      <formula>NOT(ISERROR(SEARCH(("Hoshimachi Suisei"),(A1))))</formula>
    </cfRule>
  </conditionalFormatting>
  <conditionalFormatting sqref="A1:AF64">
    <cfRule type="containsText" dxfId="13" priority="14" operator="containsText" text="Sakura Miko">
      <formula>NOT(ISERROR(SEARCH(("Sakura Miko"),(A1))))</formula>
    </cfRule>
  </conditionalFormatting>
  <conditionalFormatting sqref="A1:AF64">
    <cfRule type="containsText" dxfId="14" priority="15" operator="containsText" text="Shirakami Fubuki">
      <formula>NOT(ISERROR(SEARCH(("Shirakami Fubuki"),(A1))))</formula>
    </cfRule>
  </conditionalFormatting>
  <conditionalFormatting sqref="A1:AF64">
    <cfRule type="containsText" dxfId="15" priority="16" operator="containsText" text="Natsuiro Matsuri">
      <formula>NOT(ISERROR(SEARCH(("Natsuiro Matsuri"),(A1))))</formula>
    </cfRule>
  </conditionalFormatting>
  <conditionalFormatting sqref="A1:AF64">
    <cfRule type="containsText" dxfId="16" priority="17" operator="containsText" text="Aki Rosenthal">
      <formula>NOT(ISERROR(SEARCH(("Aki Rosenthal"),(A1))))</formula>
    </cfRule>
  </conditionalFormatting>
  <conditionalFormatting sqref="A1:AF64">
    <cfRule type="containsText" dxfId="17" priority="18" operator="containsText" text="Akai Haato">
      <formula>NOT(ISERROR(SEARCH(("Akai Haato"),(A1))))</formula>
    </cfRule>
  </conditionalFormatting>
  <conditionalFormatting sqref="A1:AF64">
    <cfRule type="containsText" dxfId="18" priority="19" operator="containsText" text="Murasaki Shion">
      <formula>NOT(ISERROR(SEARCH(("Murasaki Shion"),(A1))))</formula>
    </cfRule>
  </conditionalFormatting>
  <conditionalFormatting sqref="A1:AF64">
    <cfRule type="containsText" dxfId="19" priority="20" operator="containsText" text="Nakiri Ayame">
      <formula>NOT(ISERROR(SEARCH(("Nakiri Ayame"),(A1))))</formula>
    </cfRule>
  </conditionalFormatting>
  <conditionalFormatting sqref="A1:AF64">
    <cfRule type="containsText" dxfId="20" priority="21" operator="containsText" text="Yuzuki Choco">
      <formula>NOT(ISERROR(SEARCH(("Yuzuki Choco"),(A1))))</formula>
    </cfRule>
  </conditionalFormatting>
  <conditionalFormatting sqref="A1:AF64">
    <cfRule type="containsText" dxfId="21" priority="22" operator="containsText" text="Oozora Subaru">
      <formula>NOT(ISERROR(SEARCH(("Oozora Subaru"),(A1))))</formula>
    </cfRule>
  </conditionalFormatting>
  <conditionalFormatting sqref="A1:AF64">
    <cfRule type="containsText" dxfId="22" priority="23" operator="containsText" text="Ookami Mio">
      <formula>NOT(ISERROR(SEARCH(("Ookami Mio"),(A1))))</formula>
    </cfRule>
  </conditionalFormatting>
  <conditionalFormatting sqref="A1:AF64">
    <cfRule type="containsText" dxfId="23" priority="24" operator="containsText" text="Nekomata Okayu">
      <formula>NOT(ISERROR(SEARCH(("Nekomata Okayu"),(A1))))</formula>
    </cfRule>
  </conditionalFormatting>
  <conditionalFormatting sqref="A1:AF64">
    <cfRule type="containsText" dxfId="24" priority="25" operator="containsText" text="Inugami Korone">
      <formula>NOT(ISERROR(SEARCH(("Inugami Korone"),(A1))))</formula>
    </cfRule>
  </conditionalFormatting>
  <conditionalFormatting sqref="A1:AF64">
    <cfRule type="containsText" dxfId="25" priority="26" operator="containsText" text="Usada Pekora">
      <formula>NOT(ISERROR(SEARCH(("Usada Pekora"),(A1))))</formula>
    </cfRule>
  </conditionalFormatting>
  <conditionalFormatting sqref="A1:AF64">
    <cfRule type="containsText" dxfId="26" priority="27" operator="containsText" text="Shiranui Flare">
      <formula>NOT(ISERROR(SEARCH(("Shiranui Flare"),(A1))))</formula>
    </cfRule>
  </conditionalFormatting>
  <conditionalFormatting sqref="A1:AF64">
    <cfRule type="containsText" dxfId="27" priority="28" operator="containsText" text="Shirogane Noel">
      <formula>NOT(ISERROR(SEARCH(("Shirogane Noel"),(A1))))</formula>
    </cfRule>
  </conditionalFormatting>
  <conditionalFormatting sqref="A1:AF64">
    <cfRule type="containsText" dxfId="28" priority="29" operator="containsText" text="Houshou Marine">
      <formula>NOT(ISERROR(SEARCH(("Houshou Marine"),(A1))))</formula>
    </cfRule>
  </conditionalFormatting>
  <conditionalFormatting sqref="A1:AF64">
    <cfRule type="containsText" dxfId="29" priority="30" operator="containsText" text="Amane Kanata">
      <formula>NOT(ISERROR(SEARCH(("Amane Kanata"),(A1))))</formula>
    </cfRule>
  </conditionalFormatting>
  <conditionalFormatting sqref="A1:AF64">
    <cfRule type="containsText" dxfId="30" priority="31" operator="containsText" text="Tsunomaki Watame">
      <formula>NOT(ISERROR(SEARCH(("Tsunomaki Watame"),(A1))))</formula>
    </cfRule>
  </conditionalFormatting>
  <conditionalFormatting sqref="A1:AF64">
    <cfRule type="containsText" dxfId="31" priority="32" operator="containsText" text="Tokoyami Towa">
      <formula>NOT(ISERROR(SEARCH(("Tokoyami Towa"),(A1))))</formula>
    </cfRule>
  </conditionalFormatting>
  <conditionalFormatting sqref="A1:AF64">
    <cfRule type="containsText" dxfId="32" priority="33" operator="containsText" text="Himemori Luna">
      <formula>NOT(ISERROR(SEARCH(("Himemori Luna"),(A1))))</formula>
    </cfRule>
  </conditionalFormatting>
  <conditionalFormatting sqref="A1:AF64">
    <cfRule type="containsText" dxfId="33" priority="34" operator="containsText" text="Yukihana Lamy">
      <formula>NOT(ISERROR(SEARCH(("Yukihana Lamy"),(A1))))</formula>
    </cfRule>
  </conditionalFormatting>
  <conditionalFormatting sqref="A1:AF64">
    <cfRule type="containsText" dxfId="34" priority="35" operator="containsText" text="Momosuzu Nene">
      <formula>NOT(ISERROR(SEARCH(("Momosuzu Nene"),(A1))))</formula>
    </cfRule>
  </conditionalFormatting>
  <conditionalFormatting sqref="A1:AF64">
    <cfRule type="containsText" dxfId="35" priority="36" operator="containsText" text="Shishiro Botan">
      <formula>NOT(ISERROR(SEARCH(("Shishiro Botan"),(A1))))</formula>
    </cfRule>
  </conditionalFormatting>
  <conditionalFormatting sqref="A1:AF64">
    <cfRule type="containsText" dxfId="36" priority="37" operator="containsText" text="Omaru Polka">
      <formula>NOT(ISERROR(SEARCH(("Omaru Polka"),(A1))))</formula>
    </cfRule>
  </conditionalFormatting>
  <conditionalFormatting sqref="A1:AF64">
    <cfRule type="containsText" dxfId="37" priority="38" operator="containsText" text="La+ Darknesss">
      <formula>NOT(ISERROR(SEARCH(("La+ Darknesss"),(A1))))</formula>
    </cfRule>
  </conditionalFormatting>
  <conditionalFormatting sqref="A1:AF64">
    <cfRule type="containsText" dxfId="38" priority="39" operator="containsText" text="Takane Lui">
      <formula>NOT(ISERROR(SEARCH(("Takane Lui"),(A1))))</formula>
    </cfRule>
  </conditionalFormatting>
  <conditionalFormatting sqref="A1:AF64">
    <cfRule type="containsText" dxfId="39" priority="40" operator="containsText" text="Hakui Koyori">
      <formula>NOT(ISERROR(SEARCH(("Hakui Koyori"),(A1))))</formula>
    </cfRule>
  </conditionalFormatting>
  <conditionalFormatting sqref="A1:AF64">
    <cfRule type="containsText" dxfId="40" priority="41" operator="containsText" text="Kazama Iroha">
      <formula>NOT(ISERROR(SEARCH(("Kazama Iroha"),(A1))))</formula>
    </cfRule>
  </conditionalFormatting>
  <conditionalFormatting sqref="A1:AF64">
    <cfRule type="containsText" dxfId="41" priority="42" operator="containsText" text="Hiodoshi Ao">
      <formula>NOT(ISERROR(SEARCH(("Hiodoshi Ao"),(A1))))</formula>
    </cfRule>
  </conditionalFormatting>
  <conditionalFormatting sqref="A1:AF64">
    <cfRule type="containsText" dxfId="42" priority="43" operator="containsText" text="Otonose Kanade">
      <formula>NOT(ISERROR(SEARCH(("Otonose Kanade"),(A1))))</formula>
    </cfRule>
  </conditionalFormatting>
  <conditionalFormatting sqref="A1:AF64">
    <cfRule type="containsText" dxfId="43" priority="44" operator="containsText" text="Ichijou Ririka">
      <formula>NOT(ISERROR(SEARCH(("Ichijou Ririka"),(A1))))</formula>
    </cfRule>
  </conditionalFormatting>
  <conditionalFormatting sqref="A1:AF64">
    <cfRule type="containsText" dxfId="44" priority="45" operator="containsText" text="Juufuutei Raden">
      <formula>NOT(ISERROR(SEARCH(("Juufuutei Raden"),(A1))))</formula>
    </cfRule>
  </conditionalFormatting>
  <conditionalFormatting sqref="A1:AF64">
    <cfRule type="containsText" dxfId="45" priority="46" operator="containsText" text="Todoroki Hajime">
      <formula>NOT(ISERROR(SEARCH(("Todoroki Hajime"),(A1))))</formula>
    </cfRule>
  </conditionalFormatting>
  <conditionalFormatting sqref="A1:AF64">
    <cfRule type="containsText" dxfId="46" priority="47" operator="containsText" text="Isaki Riona">
      <formula>NOT(ISERROR(SEARCH(("Isaki Riona"),(A1))))</formula>
    </cfRule>
  </conditionalFormatting>
  <conditionalFormatting sqref="A1:AF64">
    <cfRule type="containsText" dxfId="47" priority="48" operator="containsText" text="Koganei Niko">
      <formula>NOT(ISERROR(SEARCH(("Koganei Niko"),(A1))))</formula>
    </cfRule>
  </conditionalFormatting>
  <conditionalFormatting sqref="A1:AF64">
    <cfRule type="containsText" dxfId="48" priority="49" operator="containsText" text="Mizumiya Su">
      <formula>NOT(ISERROR(SEARCH(("Mizumiya Su"),(A1))))</formula>
    </cfRule>
  </conditionalFormatting>
  <conditionalFormatting sqref="A1:AF64">
    <cfRule type="containsText" dxfId="49" priority="50" operator="containsText" text="Rindo Chihaya">
      <formula>NOT(ISERROR(SEARCH(("Rindo Chihaya"),(A1))))</formula>
    </cfRule>
  </conditionalFormatting>
  <conditionalFormatting sqref="A1:AF64">
    <cfRule type="containsText" dxfId="50" priority="51" operator="containsText" text="Kikirara Vivi">
      <formula>NOT(ISERROR(SEARCH(("Kikirara Vivi"),(A1))))</formula>
    </cfRule>
  </conditionalFormatting>
  <conditionalFormatting sqref="A1:AF64">
    <cfRule type="containsText" dxfId="51" priority="52" operator="containsText" text="Ayunda Risu">
      <formula>NOT(ISERROR(SEARCH(("Ayunda Risu"),(A1))))</formula>
    </cfRule>
  </conditionalFormatting>
  <conditionalFormatting sqref="A1:AF64">
    <cfRule type="containsText" dxfId="52" priority="53" operator="containsText" text="Kureiji Ollie">
      <formula>NOT(ISERROR(SEARCH(("Kureiji Ollie"),(A1))))</formula>
    </cfRule>
  </conditionalFormatting>
  <conditionalFormatting sqref="A1:AF64">
    <cfRule type="containsText" dxfId="53" priority="54" operator="containsText" text="Vestia Zeta">
      <formula>NOT(ISERROR(SEARCH(("Vestia Zeta"),(A1))))</formula>
    </cfRule>
  </conditionalFormatting>
  <conditionalFormatting sqref="A1:AF64">
    <cfRule type="containsText" dxfId="54" priority="55" operator="containsText" text="Moona Hoshinova">
      <formula>NOT(ISERROR(SEARCH(("Moona Hoshinova"),(A1))))</formula>
    </cfRule>
  </conditionalFormatting>
  <conditionalFormatting sqref="A1:AF64">
    <cfRule type="containsText" dxfId="55" priority="56" operator="containsText" text="Anya Melfissa">
      <formula>NOT(ISERROR(SEARCH(("Anya Melfissa"),(A1))))</formula>
    </cfRule>
  </conditionalFormatting>
  <conditionalFormatting sqref="A1:AF64">
    <cfRule type="containsText" dxfId="56" priority="57" operator="containsText" text="Kaela Kovalskia">
      <formula>NOT(ISERROR(SEARCH(("Kaela Kovalskia"),(A1))))</formula>
    </cfRule>
  </conditionalFormatting>
  <conditionalFormatting sqref="A1:AF64">
    <cfRule type="containsText" dxfId="57" priority="58" operator="containsText" text="Airani Iofifteen">
      <formula>NOT(ISERROR(SEARCH(("Airani Iofifteen"),(A1))))</formula>
    </cfRule>
  </conditionalFormatting>
  <conditionalFormatting sqref="A1:AF64">
    <cfRule type="containsText" dxfId="58" priority="59" operator="containsText" text="Pavolia Reine">
      <formula>NOT(ISERROR(SEARCH(("Pavolia Reine"),(A1))))</formula>
    </cfRule>
  </conditionalFormatting>
  <conditionalFormatting sqref="A1:AF64">
    <cfRule type="containsText" dxfId="59" priority="60" operator="containsText" text="Kobo Kanaeru">
      <formula>NOT(ISERROR(SEARCH(("Kobo Kanaeru"),(A1))))</formula>
    </cfRule>
  </conditionalFormatting>
  <conditionalFormatting sqref="A1:AF64">
    <cfRule type="containsText" dxfId="60" priority="61" operator="containsText" text="Hakos Baelz">
      <formula>NOT(ISERROR(SEARCH(("Hakos Baelz"),(A1))))</formula>
    </cfRule>
  </conditionalFormatting>
  <conditionalFormatting sqref="A1:AF64">
    <cfRule type="containsText" dxfId="61" priority="62" operator="containsText" text="FUWAMOCO">
      <formula>NOT(ISERROR(SEARCH(("FUWAMOCO"),(A1))))</formula>
    </cfRule>
  </conditionalFormatting>
  <conditionalFormatting sqref="A1:AF64">
    <cfRule type="containsText" dxfId="62" priority="63" operator="containsText" text="Harusaki Nodoka">
      <formula>NOT(ISERROR(SEARCH(("Harusaki Nodoka"),(A1))))</formula>
    </cfRule>
  </conditionalFormatting>
  <conditionalFormatting sqref="A1:AF64">
    <cfRule type="containsText" dxfId="63" priority="64" operator="containsText" text="YAGOO">
      <formula>NOT(ISERROR(SEARCH(("YAGOO"),(A1))))</formula>
    </cfRule>
  </conditionalFormatting>
  <conditionalFormatting sqref="A1:AF64">
    <cfRule type="cellIs" dxfId="6" priority="65" operator="equal">
      <formula>"Staff"</formula>
    </cfRule>
  </conditionalFormatting>
  <conditionalFormatting sqref="A1:AF64">
    <cfRule type="containsText" dxfId="64" priority="66" operator="containsText" text="Mori Calliope">
      <formula>NOT(ISERROR(SEARCH(("Mori Calliope"),(A1))))</formula>
    </cfRule>
  </conditionalFormatting>
  <conditionalFormatting sqref="A1:AF64">
    <cfRule type="containsText" dxfId="65" priority="67" operator="containsText" text="Takanashi Kiara">
      <formula>NOT(ISERROR(SEARCH(("Takanashi Kiara"),(A1))))</formula>
    </cfRule>
  </conditionalFormatting>
  <conditionalFormatting sqref="A1:AF64">
    <cfRule type="containsText" dxfId="66" priority="68" operator="containsText" text="Ninomae Ina'nis">
      <formula>NOT(ISERROR(SEARCH(("Ninomae Ina'nis"),(A1))))</formula>
    </cfRule>
  </conditionalFormatting>
  <conditionalFormatting sqref="A1:AF64">
    <cfRule type="containsText" dxfId="67" priority="69" operator="containsText" text="Gawr Gura">
      <formula>NOT(ISERROR(SEARCH(("Gawr Gura"),(A1))))</formula>
    </cfRule>
  </conditionalFormatting>
  <conditionalFormatting sqref="A1:AF64">
    <cfRule type="containsText" dxfId="68" priority="70" operator="containsText" text="IRyS">
      <formula>NOT(ISERROR(SEARCH(("IRyS"),(A1))))</formula>
    </cfRule>
  </conditionalFormatting>
  <conditionalFormatting sqref="A1:AF64">
    <cfRule type="containsText" dxfId="69" priority="71" operator="containsText" text="Ouro Kronii">
      <formula>NOT(ISERROR(SEARCH(("Ouro Kronii"),(A1))))</formula>
    </cfRule>
  </conditionalFormatting>
  <conditionalFormatting sqref="A1:AF64">
    <cfRule type="containsText" dxfId="70" priority="72" operator="containsText" text="Nanashi Mumei">
      <formula>NOT(ISERROR(SEARCH(("Nanashi Mumei"),(A1))))</formula>
    </cfRule>
  </conditionalFormatting>
  <conditionalFormatting sqref="A1:AF64">
    <cfRule type="containsText" dxfId="71" priority="73" operator="containsText" text="Hakos Baelz">
      <formula>NOT(ISERROR(SEARCH(("Hakos Baelz"),(A1))))</formula>
    </cfRule>
  </conditionalFormatting>
  <conditionalFormatting sqref="A1:AF64">
    <cfRule type="containsText" dxfId="72" priority="74" operator="containsText" text="Shiori Novella">
      <formula>NOT(ISERROR(SEARCH(("Shiori Novella"),(A1))))</formula>
    </cfRule>
  </conditionalFormatting>
  <conditionalFormatting sqref="A1:AF64">
    <cfRule type="containsText" dxfId="73" priority="75" operator="containsText" text="Koseki Bijou">
      <formula>NOT(ISERROR(SEARCH(("Koseki Bijou"),(A1))))</formula>
    </cfRule>
  </conditionalFormatting>
  <conditionalFormatting sqref="A1:AF64">
    <cfRule type="containsText" dxfId="74" priority="76" operator="containsText" text="Nerissa Ravencroft">
      <formula>NOT(ISERROR(SEARCH(("Nerissa Ravencroft"),(A1))))</formula>
    </cfRule>
  </conditionalFormatting>
  <conditionalFormatting sqref="A1:AF64">
    <cfRule type="containsText" dxfId="75" priority="77" operator="containsText" text="Fuwawa Abyssgard">
      <formula>NOT(ISERROR(SEARCH(("Fuwawa Abyssgard"),(A1))))</formula>
    </cfRule>
  </conditionalFormatting>
  <conditionalFormatting sqref="A1:AF64">
    <cfRule type="containsText" dxfId="76" priority="78" operator="containsText" text="Mococo Abyssgard">
      <formula>NOT(ISERROR(SEARCH(("Mococo Abyssgard"),(A1))))</formula>
    </cfRule>
  </conditionalFormatting>
  <conditionalFormatting sqref="A1:AF64">
    <cfRule type="containsText" dxfId="77" priority="79" operator="containsText" text="Elizabeth Rose Bloodflame">
      <formula>NOT(ISERROR(SEARCH(("Elizabeth Rose Bloodflame"),(A1))))</formula>
    </cfRule>
  </conditionalFormatting>
  <conditionalFormatting sqref="A1:AF64">
    <cfRule type="containsText" dxfId="78" priority="80" operator="containsText" text="Gigi Murin">
      <formula>NOT(ISERROR(SEARCH(("Gigi Murin"),(A1))))</formula>
    </cfRule>
  </conditionalFormatting>
  <conditionalFormatting sqref="A1:AF64">
    <cfRule type="containsText" dxfId="79" priority="81" operator="containsText" text="Cecilia Immergreen">
      <formula>NOT(ISERROR(SEARCH(("Cecilia Immergreen"),(A1))))</formula>
    </cfRule>
  </conditionalFormatting>
  <conditionalFormatting sqref="A1:AF64">
    <cfRule type="containsText" dxfId="80" priority="82" operator="containsText" text="Raora Panthera">
      <formula>NOT(ISERROR(SEARCH(("Raora Panthera"),(A1))))</formula>
    </cfRule>
  </conditionalFormatting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2.0" ySplit="4.0" topLeftCell="C5" activePane="bottomRight" state="frozen"/>
      <selection activeCell="C1" sqref="C1" pane="topRight"/>
      <selection activeCell="A5" sqref="A5" pane="bottomLeft"/>
      <selection activeCell="C5" sqref="C5" pane="bottomRight"/>
    </sheetView>
  </sheetViews>
  <sheetFormatPr customHeight="1" defaultColWidth="12.63" defaultRowHeight="15.75"/>
  <cols>
    <col customWidth="1" min="1" max="1" width="2.75"/>
    <col customWidth="1" min="2" max="2" width="22.38"/>
    <col customWidth="1" min="3" max="10" width="4.0"/>
  </cols>
  <sheetData>
    <row r="1">
      <c r="A1" s="137" t="s">
        <v>100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</row>
    <row r="2">
      <c r="C2" s="8"/>
      <c r="D2" s="8"/>
      <c r="E2" s="8"/>
      <c r="F2" s="8"/>
      <c r="G2" s="8"/>
      <c r="H2" s="8"/>
      <c r="I2" s="8"/>
      <c r="J2" s="8"/>
    </row>
    <row r="3">
      <c r="C3" s="8"/>
      <c r="D3" s="8"/>
      <c r="E3" s="8"/>
      <c r="F3" s="8"/>
      <c r="G3" s="8"/>
      <c r="H3" s="8"/>
      <c r="I3" s="8"/>
      <c r="J3" s="8"/>
    </row>
    <row r="4">
      <c r="C4" s="14"/>
      <c r="D4" s="14"/>
      <c r="E4" s="14"/>
      <c r="F4" s="14"/>
      <c r="G4" s="14"/>
      <c r="H4" s="14"/>
      <c r="I4" s="14"/>
      <c r="J4" s="14"/>
    </row>
    <row r="5">
      <c r="A5" s="138" t="s">
        <v>101</v>
      </c>
      <c r="B5" s="16"/>
      <c r="C5" s="139"/>
      <c r="D5" s="140"/>
      <c r="E5" s="140"/>
      <c r="F5" s="140"/>
      <c r="G5" s="140"/>
      <c r="H5" s="140"/>
      <c r="I5" s="140"/>
      <c r="J5" s="140"/>
    </row>
    <row r="6">
      <c r="A6" s="141" t="str">
        <f>IMAGE("https://api.mineatar.io/face/031fd87e-83a4-43ad-af62-71a3e4dc5b34?scale=12")</f>
        <v/>
      </c>
      <c r="B6" s="20" t="s">
        <v>13</v>
      </c>
      <c r="C6" s="142" t="s">
        <v>102</v>
      </c>
      <c r="D6" s="143" t="str">
        <f>HYPERLINK("https://youtu.be/tAuKtkrr8vI", "✔")</f>
        <v>✔</v>
      </c>
      <c r="E6" s="142" t="s">
        <v>102</v>
      </c>
      <c r="F6" s="142" t="s">
        <v>102</v>
      </c>
      <c r="G6" s="142" t="s">
        <v>102</v>
      </c>
      <c r="H6" s="142" t="s">
        <v>102</v>
      </c>
      <c r="I6" s="142" t="s">
        <v>102</v>
      </c>
      <c r="J6" s="144" t="str">
        <f>HYPERLINK("https://youtu.be/-pv6Bdqh2HY", "✔")</f>
        <v>✔</v>
      </c>
    </row>
    <row r="7">
      <c r="A7" s="145" t="str">
        <f>image("https://api.mineatar.io/face/1f34ec92-bf0d-40b6-b5db-b8b97265d87d?scale=12")</f>
        <v/>
      </c>
      <c r="B7" s="24" t="s">
        <v>14</v>
      </c>
      <c r="C7" s="146" t="str">
        <f>HYPERLINK("https://youtu.be/QISkmAlF5F4", "✔")</f>
        <v>✔</v>
      </c>
      <c r="D7" s="146" t="str">
        <f>HYPERLINK("https://youtu.be/YxYiAqOJEjU", "✔")</f>
        <v>✔</v>
      </c>
      <c r="E7" s="144" t="str">
        <f>HYPERLINK("https://youtu.be/GM37wlKMftI", "✔")</f>
        <v>✔</v>
      </c>
      <c r="F7" s="142" t="s">
        <v>103</v>
      </c>
      <c r="G7" s="144" t="str">
        <f>HYPERLINK("https://youtu.be/YgQtyyDbFnM", "✔")</f>
        <v>✔</v>
      </c>
      <c r="H7" s="144" t="str">
        <f>HYPERLINK("https://youtu.be/PJ7d39T-DlE", "✔")</f>
        <v>✔</v>
      </c>
      <c r="I7" s="144" t="str">
        <f>HYPERLINK("https://youtu.be/omon-IlNd2A", "✔")</f>
        <v>✔</v>
      </c>
      <c r="J7" s="144" t="str">
        <f>HYPERLINK("https://youtu.be/tPV9mmduSKk", "✔")</f>
        <v>✔</v>
      </c>
    </row>
    <row r="8">
      <c r="A8" s="147" t="str">
        <f>image("https://api.mineatar.io/face/967fe226-1187-4437-b462-1705c9b8d248?scale=12")</f>
        <v/>
      </c>
      <c r="B8" s="148" t="s">
        <v>15</v>
      </c>
      <c r="C8" s="146" t="str">
        <f>HYPERLINK("https://youtu.be/IJ7t5oygPyY", "✔")</f>
        <v>✔</v>
      </c>
      <c r="D8" s="146" t="str">
        <f>HYPERLINK("https://youtu.be/4phg7hXfrTo", "✔")</f>
        <v>✔</v>
      </c>
      <c r="E8" s="142" t="s">
        <v>102</v>
      </c>
      <c r="F8" s="144" t="str">
        <f>HYPERLINK("https://youtu.be/Kqhm3QCfR6Y", "✔")</f>
        <v>✔</v>
      </c>
      <c r="G8" s="144" t="str">
        <f>HYPERLINK("https://youtu.be/9Qy4zk6aZgc", "✔")</f>
        <v>✔</v>
      </c>
      <c r="H8" s="144" t="str">
        <f>HYPERLINK("https://youtu.be/SgteNK3ohUk", "✔")</f>
        <v>✔</v>
      </c>
      <c r="I8" s="142" t="s">
        <v>102</v>
      </c>
      <c r="J8" s="144" t="str">
        <f>HYPERLINK("https://youtu.be/yucZSb5CLeE", "✔")</f>
        <v>✔</v>
      </c>
    </row>
    <row r="9">
      <c r="A9" s="149" t="str">
        <f>image("https://api.mineatar.io/face/3e255051-4ea8-465a-af46-28f019ec7ebb?scale=12")</f>
        <v/>
      </c>
      <c r="B9" s="32" t="s">
        <v>16</v>
      </c>
      <c r="C9" s="146" t="str">
        <f>HYPERLINK("https://youtu.be/o44dAQBOKlg", "✔")</f>
        <v>✔</v>
      </c>
      <c r="D9" s="146" t="str">
        <f>HYPERLINK("https://youtu.be/rVAOKz3G990", "✔")</f>
        <v>✔</v>
      </c>
      <c r="E9" s="144" t="str">
        <f>HYPERLINK("https://youtu.be/qk7Lc66F3HY", "✔")</f>
        <v>✔</v>
      </c>
      <c r="F9" s="144" t="str">
        <f>HYPERLINK("https://youtu.be/5RvAPHxLIHQ", "✔")</f>
        <v>✔</v>
      </c>
      <c r="G9" s="144" t="str">
        <f>HYPERLINK("https://youtu.be/OiMY8Zj9_Qc", "✔")</f>
        <v>✔</v>
      </c>
      <c r="H9" s="144" t="str">
        <f>HYPERLINK("https://youtu.be/kUDurR3AI50", "✔")</f>
        <v>✔</v>
      </c>
      <c r="I9" s="144" t="str">
        <f>HYPERLINK("https://youtu.be/8XuLpVJyAdo", "✔")</f>
        <v>✔</v>
      </c>
      <c r="J9" s="144" t="str">
        <f>HYPERLINK("https://youtu.be/ifqWlKDn_lQ", "✔")</f>
        <v>✔</v>
      </c>
    </row>
    <row r="10">
      <c r="A10" s="150" t="str">
        <f>image("https://api.mineatar.io/face/d604942f-2b4b-4452-a8da-3dbf83e235c3?scale=12")</f>
        <v/>
      </c>
      <c r="B10" s="36" t="s">
        <v>17</v>
      </c>
      <c r="C10" s="142" t="s">
        <v>102</v>
      </c>
      <c r="D10" s="142" t="s">
        <v>102</v>
      </c>
      <c r="E10" s="142" t="s">
        <v>102</v>
      </c>
      <c r="F10" s="142" t="s">
        <v>103</v>
      </c>
      <c r="G10" s="142" t="s">
        <v>102</v>
      </c>
      <c r="H10" s="142" t="s">
        <v>102</v>
      </c>
      <c r="I10" s="142" t="s">
        <v>103</v>
      </c>
      <c r="J10" s="142" t="s">
        <v>103</v>
      </c>
    </row>
    <row r="11">
      <c r="A11" s="151" t="str">
        <f>IMAGE("https://api.mineatar.io/face/7ec7cca2-6085-4eed-89c6-3c0ef6eef5ee?scale=12")</f>
        <v/>
      </c>
      <c r="B11" s="40" t="s">
        <v>18</v>
      </c>
      <c r="C11" s="146" t="str">
        <f>HYPERLINK("https://youtu.be/QcedeUQ-GZQ", "✔")</f>
        <v>✔</v>
      </c>
      <c r="D11" s="146" t="str">
        <f>HYPERLINK("https://youtu.be/K88Cl6psKIg", "✔")</f>
        <v>✔</v>
      </c>
      <c r="E11" s="142" t="s">
        <v>102</v>
      </c>
      <c r="F11" s="142" t="s">
        <v>102</v>
      </c>
      <c r="G11" s="142" t="s">
        <v>102</v>
      </c>
      <c r="H11" s="142" t="s">
        <v>102</v>
      </c>
      <c r="I11" s="142" t="s">
        <v>102</v>
      </c>
      <c r="J11" s="144" t="str">
        <f>HYPERLINK("https://youtu.be/mZnHP4Dc5ec", "✔")</f>
        <v>✔</v>
      </c>
    </row>
    <row r="12">
      <c r="A12" s="19" t="str">
        <f>image("https://api.mineatar.io/face/7624f07c54534c6c88c1f85316bd9e01?scale=32")</f>
        <v/>
      </c>
      <c r="B12" s="45" t="s">
        <v>19</v>
      </c>
      <c r="C12" s="142" t="s">
        <v>102</v>
      </c>
      <c r="D12" s="146" t="str">
        <f>HYPERLINK("https://youtu.be/o7FKdB-yg30", "✔")</f>
        <v>✔</v>
      </c>
      <c r="E12" s="142" t="s">
        <v>102</v>
      </c>
      <c r="F12" s="142" t="s">
        <v>102</v>
      </c>
      <c r="G12" s="142" t="s">
        <v>102</v>
      </c>
      <c r="H12" s="144" t="str">
        <f>HYPERLINK("https://youtu.be/gb-9y4zZr5k", "✔")</f>
        <v>✔</v>
      </c>
      <c r="I12" s="142" t="s">
        <v>102</v>
      </c>
      <c r="J12" s="144" t="str">
        <f>HYPERLINK("https://youtu.be/riS-iledMsc", "✔")</f>
        <v>✔</v>
      </c>
    </row>
    <row r="13">
      <c r="A13" s="152" t="str">
        <f>image("https://api.mineatar.io/face/23c163a1-e2c4-4790-a9ee-799e79a3cb56?scale=12")</f>
        <v/>
      </c>
      <c r="B13" s="49" t="s">
        <v>20</v>
      </c>
      <c r="C13" s="146" t="str">
        <f>HYPERLINK("https://youtu.be/9t-wTgRvvJ8", "✔")</f>
        <v>✔</v>
      </c>
      <c r="D13" s="146" t="str">
        <f>HYPERLINK("https://youtu.be/AW3dEzNPWaw", "✔")</f>
        <v>✔</v>
      </c>
      <c r="E13" s="142" t="s">
        <v>102</v>
      </c>
      <c r="F13" s="142" t="s">
        <v>102</v>
      </c>
      <c r="G13" s="142" t="s">
        <v>102</v>
      </c>
      <c r="H13" s="144" t="str">
        <f>HYPERLINK("https://www.youtube.com/watch?v=T4NgEvsjX-Q", "✔")</f>
        <v>✔</v>
      </c>
      <c r="I13" s="142" t="s">
        <v>103</v>
      </c>
      <c r="J13" s="144" t="str">
        <f>HYPERLINK("https://youtu.be/31sQl3jpW9U", "✔")</f>
        <v>✔</v>
      </c>
    </row>
    <row r="14">
      <c r="A14" s="44" t="str">
        <f>image("https://api.mineatar.io/face/6252f15b-4e9f-4207-9ab9-793dee88436c?scale=12")</f>
        <v/>
      </c>
      <c r="B14" s="53" t="s">
        <v>21</v>
      </c>
      <c r="C14" s="142" t="s">
        <v>102</v>
      </c>
      <c r="D14" s="146" t="str">
        <f>HYPERLINK("https://youtu.be/VhhF5ZPFQSs", "✔")</f>
        <v>✔</v>
      </c>
      <c r="E14" s="142" t="s">
        <v>102</v>
      </c>
      <c r="F14" s="142" t="s">
        <v>102</v>
      </c>
      <c r="G14" s="142" t="s">
        <v>102</v>
      </c>
      <c r="H14" s="144" t="str">
        <f>HYPERLINK("https://youtu.be/R0CVoafcVHM", "✔")</f>
        <v>✔</v>
      </c>
      <c r="I14" s="144" t="str">
        <f>HYPERLINK("https://youtu.be/hatxFpkmr-8", "✔")</f>
        <v>✔</v>
      </c>
      <c r="J14" s="142" t="s">
        <v>102</v>
      </c>
    </row>
    <row r="15">
      <c r="A15" s="57" t="str">
        <f>image("https://api.mineatar.io/face/6148828d-ed79-488e-b82e-55831c709724?scale=12")</f>
        <v/>
      </c>
      <c r="B15" s="58" t="s">
        <v>22</v>
      </c>
      <c r="C15" s="142" t="s">
        <v>102</v>
      </c>
      <c r="D15" s="142" t="s">
        <v>102</v>
      </c>
      <c r="E15" s="142" t="s">
        <v>102</v>
      </c>
      <c r="F15" s="142" t="s">
        <v>102</v>
      </c>
      <c r="G15" s="142" t="s">
        <v>103</v>
      </c>
      <c r="H15" s="144" t="str">
        <f>HYPERLINK("https://youtu.be/7hZKr4TXzss", "✔")</f>
        <v>✔</v>
      </c>
      <c r="I15" s="144" t="str">
        <f>HYPERLINK("https://youtu.be/4awUMrSlN1o", "✔")</f>
        <v>✔</v>
      </c>
      <c r="J15" s="144" t="str">
        <f>HYPERLINK("https://youtu.be/I7ZlA_KXb4c", "✔")</f>
        <v>✔</v>
      </c>
    </row>
    <row r="16">
      <c r="A16" s="62" t="str">
        <f>image("https://api.mineatar.io/face/b41a895c-cc9f-45c7-9295-5ee7f405cb96?scale=12")</f>
        <v/>
      </c>
      <c r="B16" s="63" t="s">
        <v>23</v>
      </c>
      <c r="C16" s="142" t="s">
        <v>102</v>
      </c>
      <c r="D16" s="142" t="s">
        <v>102</v>
      </c>
      <c r="E16" s="142" t="s">
        <v>102</v>
      </c>
      <c r="F16" s="142" t="s">
        <v>102</v>
      </c>
      <c r="G16" s="142" t="s">
        <v>103</v>
      </c>
      <c r="H16" s="142" t="s">
        <v>103</v>
      </c>
      <c r="I16" s="142" t="s">
        <v>102</v>
      </c>
      <c r="J16" s="142" t="s">
        <v>102</v>
      </c>
    </row>
    <row r="17">
      <c r="A17" s="67" t="str">
        <f>IMAGE("https://api.mineatar.io/face/aff526b0-d9e4-417b-ad8e-d172bae1ba97?scale=12")</f>
        <v/>
      </c>
      <c r="B17" s="68" t="s">
        <v>24</v>
      </c>
      <c r="C17" s="142" t="s">
        <v>102</v>
      </c>
      <c r="D17" s="144" t="str">
        <f>HYPERLINK("https://youtu.be/VBs7wRSKcaI", "✔")</f>
        <v>✔</v>
      </c>
      <c r="E17" s="144" t="str">
        <f>HYPERLINK("https://youtu.be/IKuGeZBXvEs", "✔")</f>
        <v>✔</v>
      </c>
      <c r="F17" s="144" t="str">
        <f>HYPERLINK("https://youtu.be/SBNi3xuFY6I", "✔")</f>
        <v>✔</v>
      </c>
      <c r="G17" s="142" t="s">
        <v>102</v>
      </c>
      <c r="H17" s="142" t="s">
        <v>102</v>
      </c>
      <c r="I17" s="142" t="s">
        <v>102</v>
      </c>
      <c r="J17" s="144" t="str">
        <f>HYPERLINK("https://youtu.be/zfJBsXO0_xA", "✔")</f>
        <v>✔</v>
      </c>
    </row>
    <row r="18">
      <c r="A18" s="72" t="str">
        <f>IMAGE("https://api.mineatar.io/face/8d793ab1-21a8-4162-845f-8779447d229f?scale=12")</f>
        <v/>
      </c>
      <c r="B18" s="73" t="s">
        <v>25</v>
      </c>
      <c r="C18" s="146" t="str">
        <f>HYPERLINK("https://youtu.be/KMdAA5zLtlg", "✔")</f>
        <v>✔</v>
      </c>
      <c r="D18" s="142" t="s">
        <v>102</v>
      </c>
      <c r="E18" s="144" t="str">
        <f>HYPERLINK("https://youtu.be/pleahS_jDX4", "✔")</f>
        <v>✔</v>
      </c>
      <c r="F18" s="144" t="str">
        <f>HYPERLINK("https://youtu.be/H6k_0wU_Qew", "✔")</f>
        <v>✔</v>
      </c>
      <c r="G18" s="142" t="s">
        <v>102</v>
      </c>
      <c r="H18" s="142" t="s">
        <v>102</v>
      </c>
      <c r="I18" s="142" t="s">
        <v>102</v>
      </c>
      <c r="J18" s="144" t="str">
        <f>HYPERLINK("https://youtu.be/m7BpYXUqrAo", "✔")</f>
        <v>✔</v>
      </c>
    </row>
    <row r="19">
      <c r="A19" s="77" t="str">
        <f>image("https://api.mineatar.io/face/dac5682c-16fd-45fd-8081-9a2000a7048d?scale=12")</f>
        <v/>
      </c>
      <c r="B19" s="78" t="s">
        <v>26</v>
      </c>
      <c r="C19" s="146" t="str">
        <f>HYPERLINK("https://youtu.be/XCBcgv9KNJY", "✔")</f>
        <v>✔</v>
      </c>
      <c r="D19" s="144" t="str">
        <f>HYPERLINK("https://youtu.be/QmSDV8SZMcY", "✔")</f>
        <v>✔</v>
      </c>
      <c r="E19" s="144" t="str">
        <f>HYPERLINK("https://youtu.be/O8wEffFjntc", "✔")</f>
        <v>✔</v>
      </c>
      <c r="F19" s="144" t="str">
        <f>HYPERLINK("https://youtu.be/QQA6ljkr1_0", "✔")</f>
        <v>✔</v>
      </c>
      <c r="G19" s="144" t="str">
        <f>HYPERLINK("https://youtu.be/Q41Cp7ZM3LI", "✔")</f>
        <v>✔</v>
      </c>
      <c r="H19" s="144" t="str">
        <f>HYPERLINK("https://youtu.be/wQTathYHolE", "✔")</f>
        <v>✔</v>
      </c>
      <c r="I19" s="142" t="s">
        <v>102</v>
      </c>
      <c r="J19" s="144" t="str">
        <f>HYPERLINK("https://youtu.be/28t-geOFwew", "✔")</f>
        <v>✔</v>
      </c>
    </row>
    <row r="20">
      <c r="A20" s="82" t="str">
        <f>image("https://api.mineatar.io/face/c55046b1-44a0-448a-bec1-fd6c2700230d?scale=12")</f>
        <v/>
      </c>
      <c r="B20" s="83" t="s">
        <v>27</v>
      </c>
      <c r="C20" s="153" t="str">
        <f>HYPERLINK("https://youtu.be/vOx6m8ymrZo", "✔")</f>
        <v>✔</v>
      </c>
      <c r="D20" s="144" t="str">
        <f>HYPERLINK("https://youtu.be/IHE-38oG5E4", "✔")</f>
        <v>✔</v>
      </c>
      <c r="E20" s="144" t="str">
        <f>HYPERLINK("https://youtu.be/2mQGQPMvEDQ", "✔")</f>
        <v>✔</v>
      </c>
      <c r="F20" s="144" t="str">
        <f>HYPERLINK("https://youtu.be/sbgviKOApiw", "✔")</f>
        <v>✔</v>
      </c>
      <c r="G20" s="144" t="str">
        <f>HYPERLINK("https://youtu.be/krgCFAzeshw", "✔")</f>
        <v>✔</v>
      </c>
      <c r="H20" s="144" t="str">
        <f>HYPERLINK("https://youtu.be/YZxxnhEVpVE", "✔")</f>
        <v>✔</v>
      </c>
      <c r="I20" s="144" t="str">
        <f>HYPERLINK("https://youtu.be/BO5V-jmf4Zo", "✔")</f>
        <v>✔</v>
      </c>
      <c r="J20" s="144" t="str">
        <f>HYPERLINK("https://youtu.be/SMGDE4GAoaM", "✔")</f>
        <v>✔</v>
      </c>
    </row>
  </sheetData>
  <mergeCells count="10">
    <mergeCell ref="I1:I4"/>
    <mergeCell ref="J1:J4"/>
    <mergeCell ref="A1:B4"/>
    <mergeCell ref="C1:C4"/>
    <mergeCell ref="D1:D4"/>
    <mergeCell ref="E1:E4"/>
    <mergeCell ref="F1:F4"/>
    <mergeCell ref="G1:G4"/>
    <mergeCell ref="H1:H4"/>
    <mergeCell ref="A5:B5"/>
  </mergeCells>
  <conditionalFormatting sqref="A1:B14 C1:J20 A16:B20">
    <cfRule type="cellIs" dxfId="81" priority="1" operator="equal">
      <formula>"✘"</formula>
    </cfRule>
  </conditionalFormatting>
  <conditionalFormatting sqref="A1:B14 C1:J20 A16:B20">
    <cfRule type="cellIs" dxfId="82" priority="2" operator="equal">
      <formula>"✔"</formula>
    </cfRule>
  </conditionalFormatting>
  <conditionalFormatting sqref="A1:B14 C1:J20 A16:B20">
    <cfRule type="cellIs" dxfId="83" priority="3" operator="equal">
      <formula>"-"</formula>
    </cfRule>
  </conditionalFormatting>
  <hyperlinks>
    <hyperlink r:id="rId2" ref="B6"/>
    <hyperlink r:id="rId3" ref="B7"/>
    <hyperlink r:id="rId4" ref="B8"/>
    <hyperlink r:id="rId5" ref="B9"/>
    <hyperlink r:id="rId6" ref="B10"/>
    <hyperlink r:id="rId7" ref="B11"/>
    <hyperlink r:id="rId8" ref="B12"/>
    <hyperlink r:id="rId9" ref="B13"/>
    <hyperlink r:id="rId10" ref="B14"/>
    <hyperlink r:id="rId11" ref="B15"/>
    <hyperlink r:id="rId12" ref="B16"/>
    <hyperlink r:id="rId13" ref="B17"/>
    <hyperlink r:id="rId14" ref="B18"/>
    <hyperlink r:id="rId15" ref="B19"/>
    <hyperlink r:id="rId16" ref="B20"/>
  </hyperlinks>
  <drawing r:id="rId17"/>
  <legacyDrawing r:id="rId18"/>
</worksheet>
</file>