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<sst xmlns="http://schemas.openxmlformats.org/spreadsheetml/2006/main" count="111" uniqueCount="52">
  <si>
    <t xml:space="preserve">Stima bolletta STG luglio-agosto 2024</t>
  </si>
  <si>
    <t xml:space="preserve">Stima bolletta Tutela luglio-agosto 2024 (con costi secondo delibere Arera)</t>
  </si>
  <si>
    <t xml:space="preserve">Potenza</t>
  </si>
  <si>
    <t xml:space="preserve">kW</t>
  </si>
  <si>
    <t xml:space="preserve">Con gli stessi consumi, ripartizione, potenza, residenza</t>
  </si>
  <si>
    <t xml:space="preserve">Residente</t>
  </si>
  <si>
    <t xml:space="preserve">SI</t>
  </si>
  <si>
    <t xml:space="preserve">Consumi [kWh/mese]</t>
  </si>
  <si>
    <t xml:space="preserve">Periodo [gg/mm/aaaa]</t>
  </si>
  <si>
    <t xml:space="preserve">giorni </t>
  </si>
  <si>
    <t xml:space="preserve">F1</t>
  </si>
  <si>
    <t xml:space="preserve">F2</t>
  </si>
  <si>
    <t xml:space="preserve">F3</t>
  </si>
  <si>
    <t xml:space="preserve">F1+F2+F3</t>
  </si>
  <si>
    <t xml:space="preserve">PUN senza perdite di rete [€/kWh]</t>
  </si>
  <si>
    <t xml:space="preserve">Materia energia</t>
  </si>
  <si>
    <t xml:space="preserve">Voce spesa</t>
  </si>
  <si>
    <t xml:space="preserve">Quantità</t>
  </si>
  <si>
    <t xml:space="preserve">Importo unitario</t>
  </si>
  <si>
    <t xml:space="preserve">Totale [€]</t>
  </si>
  <si>
    <t xml:space="preserve">Parametro γ</t>
  </si>
  <si>
    <t xml:space="preserve">PCV</t>
  </si>
  <si>
    <t xml:space="preserve">CELD F1</t>
  </si>
  <si>
    <t xml:space="preserve">DispBT</t>
  </si>
  <si>
    <t xml:space="preserve">CELD F2</t>
  </si>
  <si>
    <t xml:space="preserve">PE(F1)</t>
  </si>
  <si>
    <t xml:space="preserve">CELD F3</t>
  </si>
  <si>
    <t xml:space="preserve">PE(F2)</t>
  </si>
  <si>
    <t xml:space="preserve">CDISPD</t>
  </si>
  <si>
    <t xml:space="preserve">PD</t>
  </si>
  <si>
    <t xml:space="preserve">CSED</t>
  </si>
  <si>
    <t xml:space="preserve">CPSTGD</t>
  </si>
  <si>
    <t xml:space="preserve">PPE</t>
  </si>
  <si>
    <t xml:space="preserve">Subtotale materia energia</t>
  </si>
  <si>
    <t xml:space="preserve">Totale materia energia</t>
  </si>
  <si>
    <t xml:space="preserve">Trasp. e gest. contatore</t>
  </si>
  <si>
    <t xml:space="preserve">Quota fissa</t>
  </si>
  <si>
    <t xml:space="preserve">Quota potenza</t>
  </si>
  <si>
    <t xml:space="preserve">Quota energia</t>
  </si>
  <si>
    <t xml:space="preserve">Totale trasporto e gestione contatore</t>
  </si>
  <si>
    <t xml:space="preserve">Oneri di sistema</t>
  </si>
  <si>
    <t xml:space="preserve">ASOS</t>
  </si>
  <si>
    <t xml:space="preserve">ARIM</t>
  </si>
  <si>
    <t xml:space="preserve">ASOS non res,</t>
  </si>
  <si>
    <t xml:space="preserve">Totale Oneri di sistema</t>
  </si>
  <si>
    <t xml:space="preserve">Imposte</t>
  </si>
  <si>
    <t xml:space="preserve">Accisa</t>
  </si>
  <si>
    <t xml:space="preserve">Totale accisa</t>
  </si>
  <si>
    <t xml:space="preserve">Totale Materia energia + Trasporto + Oneri + Accisa, senza IVA</t>
  </si>
  <si>
    <t xml:space="preserve">IVA 10%</t>
  </si>
  <si>
    <t xml:space="preserve">Importo bolletta (senza canone RAI) inclusa IVA</t>
  </si>
  <si>
    <t xml:space="preserve">Importo bolletta (senza sconto bollett@online né canone RAI) incl. IVA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</si>
</sst>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0.0"/>
    <numFmt numFmtId="166" formatCode="dd/mm/yyyy"/>
    <numFmt numFmtId="167" formatCode="0"/>
    <numFmt numFmtId="168" formatCode="0.00%"/>
    <numFmt numFmtId="169" formatCode="dd/mm/yy"/>
    <numFmt numFmtId="170" formatCode="#,##0.00"/>
    <numFmt numFmtId="171" formatCode="0.000000"/>
    <numFmt numFmtId="172" formatCode="General"/>
    <numFmt numFmtId="173" formatCode="&quot;VERO&quot;;&quot;VERO&quot;;&quot;FALSO&quot;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sz val="10"/>
      <name val="Arial"/>
      <family val="0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2"/>
      <name val="Arial"/>
      <family val="0"/>
      <charset val="1"/>
    </font>
    <font>
      <b val="true"/>
      <sz val="1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0"/>
        <bgColor rgb="FFFFFF99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1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2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9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9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71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0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T57"/>
  <sheetViews>
    <sheetView showFormulas="false" showGridLines="true" showRowColHeaders="true" showZeros="true" rightToLeft="false" tabSelected="true" showOutlineSymbols="true" defaultGridColor="true" view="normal" topLeftCell="A1" colorId="64" zoomScale="73" zoomScaleNormal="73" zoomScalePageLayoutView="100" workbookViewId="0">
      <selection pane="topLeft" activeCell="C2" activeCellId="0" sqref="C2"/>
    </sheetView>
  </sheetViews>
  <sheetFormatPr defaultColWidth="11.66796875" defaultRowHeight="12.8" zeroHeight="false" outlineLevelRow="0" outlineLevelCol="0"/>
  <cols>
    <col collapsed="false" customWidth="true" hidden="false" outlineLevel="0" max="1" min="1" style="0" width="5.03"/>
    <col collapsed="false" customWidth="true" hidden="false" outlineLevel="0" max="3" min="2" style="0" width="12.71"/>
    <col collapsed="false" customWidth="true" hidden="false" outlineLevel="0" max="4" min="4" style="0" width="13.32"/>
    <col collapsed="false" customWidth="true" hidden="false" outlineLevel="0" max="8" min="5" style="0" width="10.19"/>
    <col collapsed="false" customWidth="true" hidden="false" outlineLevel="0" max="9" min="9" style="0" width="5.03"/>
    <col collapsed="false" customWidth="true" hidden="false" outlineLevel="0" max="10" min="10" style="0" width="12.71"/>
    <col collapsed="false" customWidth="true" hidden="false" outlineLevel="0" max="11" min="11" style="0" width="12.88"/>
    <col collapsed="false" customWidth="true" hidden="false" outlineLevel="0" max="12" min="12" style="0" width="13.32"/>
    <col collapsed="false" customWidth="true" hidden="false" outlineLevel="0" max="14" min="13" style="0" width="10.36"/>
  </cols>
  <sheetData>
    <row r="1" customFormat="false" ht="15" hidden="false" customHeight="false" outlineLevel="0" collapsed="false">
      <c r="B1" s="1" t="s">
        <v>0</v>
      </c>
      <c r="J1" s="1" t="s">
        <v>1</v>
      </c>
    </row>
    <row r="2" customFormat="false" ht="12.8" hidden="false" customHeight="false" outlineLevel="0" collapsed="false">
      <c r="B2" s="0" t="s">
        <v>2</v>
      </c>
      <c r="C2" s="2" t="n">
        <v>3</v>
      </c>
      <c r="D2" s="0" t="s">
        <v>3</v>
      </c>
      <c r="J2" s="0" t="s">
        <v>4</v>
      </c>
    </row>
    <row r="3" customFormat="false" ht="12.8" hidden="false" customHeight="false" outlineLevel="0" collapsed="false">
      <c r="B3" s="0" t="s">
        <v>5</v>
      </c>
      <c r="C3" s="3" t="s">
        <v>6</v>
      </c>
    </row>
    <row r="4" customFormat="false" ht="12.8" hidden="false" customHeight="false" outlineLevel="0" collapsed="false">
      <c r="E4" s="4" t="s">
        <v>7</v>
      </c>
      <c r="F4" s="4"/>
      <c r="G4" s="4"/>
      <c r="H4" s="4"/>
    </row>
    <row r="5" customFormat="false" ht="12.8" hidden="false" customHeight="false" outlineLevel="0" collapsed="false">
      <c r="B5" s="5" t="s">
        <v>8</v>
      </c>
      <c r="C5" s="5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</row>
    <row r="6" customFormat="false" ht="12.8" hidden="false" customHeight="false" outlineLevel="0" collapsed="false">
      <c r="B6" s="7" t="n">
        <v>45474</v>
      </c>
      <c r="C6" s="7" t="n">
        <f aca="false">DATE(YEAR(B6),MONTH(B6)+1,0)</f>
        <v>45504</v>
      </c>
      <c r="D6" s="6" t="n">
        <f aca="false">DATE(YEAR(B6),MONTH(B6)+1,1)-B6</f>
        <v>31</v>
      </c>
      <c r="E6" s="8" t="n">
        <v>82.5</v>
      </c>
      <c r="F6" s="8" t="n">
        <v>77.5</v>
      </c>
      <c r="G6" s="8" t="n">
        <v>90</v>
      </c>
      <c r="H6" s="9" t="n">
        <f aca="false">SUM(E6:G6)</f>
        <v>250</v>
      </c>
      <c r="P6" s="10"/>
      <c r="Q6" s="11"/>
      <c r="S6" s="11"/>
      <c r="T6" s="11"/>
    </row>
    <row r="7" customFormat="false" ht="12.8" hidden="false" customHeight="false" outlineLevel="0" collapsed="false">
      <c r="B7" s="7" t="n">
        <f aca="false">DATE(YEAR(B6),MONTH(B6)+1,1)</f>
        <v>45505</v>
      </c>
      <c r="C7" s="7" t="n">
        <f aca="false">DATE(YEAR(B7),MONTH(B7)+1,0)</f>
        <v>45535</v>
      </c>
      <c r="D7" s="6" t="n">
        <f aca="false">C7-B7+1</f>
        <v>31</v>
      </c>
      <c r="E7" s="8" t="n">
        <v>82.5</v>
      </c>
      <c r="F7" s="8" t="n">
        <v>77.5</v>
      </c>
      <c r="G7" s="8" t="n">
        <v>90</v>
      </c>
      <c r="H7" s="9" t="n">
        <f aca="false">SUM(E7:G7)</f>
        <v>250</v>
      </c>
      <c r="P7" s="10"/>
      <c r="Q7" s="11"/>
      <c r="R7" s="11"/>
      <c r="S7" s="11"/>
      <c r="T7" s="11"/>
    </row>
    <row r="8" customFormat="false" ht="12.8" hidden="false" customHeight="false" outlineLevel="0" collapsed="false">
      <c r="B8" s="12"/>
      <c r="C8" s="12"/>
      <c r="D8" s="6"/>
      <c r="E8" s="13"/>
      <c r="F8" s="13"/>
      <c r="G8" s="13"/>
      <c r="H8" s="13"/>
    </row>
    <row r="9" customFormat="false" ht="12.8" hidden="false" customHeight="false" outlineLevel="0" collapsed="false">
      <c r="D9" s="6"/>
      <c r="E9" s="4" t="s">
        <v>14</v>
      </c>
      <c r="F9" s="4"/>
      <c r="G9" s="4"/>
      <c r="H9" s="4"/>
    </row>
    <row r="10" customFormat="false" ht="12.8" hidden="false" customHeight="false" outlineLevel="0" collapsed="false">
      <c r="B10" s="5" t="s">
        <v>8</v>
      </c>
      <c r="C10" s="5"/>
      <c r="D10" s="6"/>
      <c r="E10" s="6" t="s">
        <v>10</v>
      </c>
      <c r="F10" s="6" t="s">
        <v>11</v>
      </c>
      <c r="G10" s="6" t="s">
        <v>12</v>
      </c>
      <c r="H10" s="6"/>
    </row>
    <row r="11" customFormat="false" ht="12.8" hidden="false" customHeight="false" outlineLevel="0" collapsed="false">
      <c r="B11" s="7" t="n">
        <f aca="false">B6</f>
        <v>45474</v>
      </c>
      <c r="C11" s="7" t="n">
        <f aca="false">DATE(YEAR(B11),MONTH(B11)+1,0)</f>
        <v>45504</v>
      </c>
      <c r="D11" s="6" t="n">
        <f aca="false">DATE(YEAR(B11),MONTH(B11)+1,1)-B11</f>
        <v>31</v>
      </c>
      <c r="E11" s="14" t="n">
        <v>0.1086735</v>
      </c>
      <c r="F11" s="14" t="n">
        <v>0.13062514</v>
      </c>
      <c r="G11" s="14" t="n">
        <v>0.1047749</v>
      </c>
      <c r="H11" s="15"/>
    </row>
    <row r="12" customFormat="false" ht="12.8" hidden="false" customHeight="false" outlineLevel="0" collapsed="false">
      <c r="B12" s="7" t="n">
        <f aca="false">B7</f>
        <v>45505</v>
      </c>
      <c r="C12" s="16" t="n">
        <v>45535</v>
      </c>
      <c r="D12" s="10" t="n">
        <f aca="false">C12-B12+1</f>
        <v>31</v>
      </c>
      <c r="E12" s="14" t="n">
        <v>0.121670468311688</v>
      </c>
      <c r="F12" s="14" t="n">
        <v>0.147953217891892</v>
      </c>
      <c r="G12" s="14" t="n">
        <v>0.122190321646341</v>
      </c>
      <c r="H12" s="6"/>
    </row>
    <row r="14" customFormat="false" ht="15" hidden="false" customHeight="false" outlineLevel="0" collapsed="false">
      <c r="B14" s="17" t="s">
        <v>15</v>
      </c>
      <c r="C14" s="18"/>
      <c r="D14" s="19" t="s">
        <v>16</v>
      </c>
      <c r="E14" s="19" t="s">
        <v>17</v>
      </c>
      <c r="F14" s="20" t="s">
        <v>18</v>
      </c>
      <c r="G14" s="19"/>
      <c r="H14" s="21" t="s">
        <v>19</v>
      </c>
      <c r="J14" s="17" t="s">
        <v>15</v>
      </c>
      <c r="K14" s="18"/>
      <c r="L14" s="19" t="s">
        <v>16</v>
      </c>
      <c r="M14" s="19" t="s">
        <v>17</v>
      </c>
      <c r="N14" s="20" t="s">
        <v>18</v>
      </c>
      <c r="O14" s="19"/>
      <c r="P14" s="21" t="s">
        <v>19</v>
      </c>
    </row>
    <row r="15" customFormat="false" ht="12.8" hidden="false" customHeight="false" outlineLevel="0" collapsed="false">
      <c r="B15" s="22" t="n">
        <f aca="false">B6</f>
        <v>45474</v>
      </c>
      <c r="C15" s="7" t="n">
        <f aca="false">C6</f>
        <v>45504</v>
      </c>
      <c r="D15" s="0" t="s">
        <v>20</v>
      </c>
      <c r="E15" s="0" t="n">
        <f aca="false">MAX(0,ROUND((C15-B15)/365*12,0))</f>
        <v>1</v>
      </c>
      <c r="F15" s="23" t="n">
        <f aca="false">-72.6542/12</f>
        <v>-6.05451666666667</v>
      </c>
      <c r="H15" s="24" t="n">
        <f aca="false">E15*F15</f>
        <v>-6.05451666666667</v>
      </c>
      <c r="J15" s="22" t="n">
        <f aca="false">B6</f>
        <v>45474</v>
      </c>
      <c r="K15" s="7" t="n">
        <f aca="false">C6</f>
        <v>45504</v>
      </c>
      <c r="L15" s="0" t="s">
        <v>21</v>
      </c>
      <c r="M15" s="0" t="n">
        <f aca="false">ROUND((K15-J15)/30,0)</f>
        <v>1</v>
      </c>
      <c r="N15" s="23" t="n">
        <f aca="false">40/12</f>
        <v>3.33333333333333</v>
      </c>
      <c r="P15" s="24" t="n">
        <f aca="false">M15*N15</f>
        <v>3.33333333333333</v>
      </c>
    </row>
    <row r="16" customFormat="false" ht="12.8" hidden="false" customHeight="false" outlineLevel="0" collapsed="false">
      <c r="B16" s="25"/>
      <c r="C16" s="6"/>
      <c r="D16" s="0" t="s">
        <v>22</v>
      </c>
      <c r="E16" s="0" t="n">
        <f aca="false">E6</f>
        <v>82.5</v>
      </c>
      <c r="F16" s="23" t="n">
        <f aca="false">E11*1.1</f>
        <v>0.11954085</v>
      </c>
      <c r="H16" s="24" t="n">
        <f aca="false">E16*F16</f>
        <v>9.862120125</v>
      </c>
      <c r="J16" s="25"/>
      <c r="K16" s="10"/>
      <c r="L16" s="0" t="s">
        <v>23</v>
      </c>
      <c r="M16" s="0" t="n">
        <f aca="false">M15</f>
        <v>1</v>
      </c>
      <c r="N16" s="23" t="n">
        <f aca="false">1.3183/12</f>
        <v>0.109858333333333</v>
      </c>
      <c r="P16" s="24" t="n">
        <f aca="false">M16*N16</f>
        <v>0.109858333333333</v>
      </c>
    </row>
    <row r="17" customFormat="false" ht="12.8" hidden="false" customHeight="false" outlineLevel="0" collapsed="false">
      <c r="B17" s="25"/>
      <c r="C17" s="6"/>
      <c r="D17" s="0" t="s">
        <v>24</v>
      </c>
      <c r="E17" s="0" t="n">
        <f aca="false">F6</f>
        <v>77.5</v>
      </c>
      <c r="F17" s="23" t="n">
        <f aca="false">F11*1.1</f>
        <v>0.143687654</v>
      </c>
      <c r="H17" s="24" t="n">
        <f aca="false">E17*F17</f>
        <v>11.135793185</v>
      </c>
      <c r="J17" s="25"/>
      <c r="K17" s="10"/>
      <c r="L17" s="0" t="s">
        <v>25</v>
      </c>
      <c r="M17" s="0" t="n">
        <f aca="false">E6</f>
        <v>82.5</v>
      </c>
      <c r="N17" s="23" t="n">
        <v>0.12929</v>
      </c>
      <c r="P17" s="24" t="n">
        <f aca="false">M17*N17</f>
        <v>10.666425</v>
      </c>
    </row>
    <row r="18" customFormat="false" ht="12.8" hidden="false" customHeight="false" outlineLevel="0" collapsed="false">
      <c r="B18" s="25"/>
      <c r="C18" s="6"/>
      <c r="D18" s="0" t="s">
        <v>26</v>
      </c>
      <c r="E18" s="0" t="n">
        <f aca="false">G6</f>
        <v>90</v>
      </c>
      <c r="F18" s="23" t="n">
        <f aca="false">G11*1.1</f>
        <v>0.11525239</v>
      </c>
      <c r="H18" s="24" t="n">
        <f aca="false">E18*F18</f>
        <v>10.3727151</v>
      </c>
      <c r="J18" s="25"/>
      <c r="K18" s="10"/>
      <c r="L18" s="0" t="s">
        <v>27</v>
      </c>
      <c r="M18" s="0" t="n">
        <f aca="false">F6+G6</f>
        <v>167.5</v>
      </c>
      <c r="N18" s="23" t="n">
        <v>0.11868</v>
      </c>
      <c r="P18" s="24" t="n">
        <f aca="false">M18*N18</f>
        <v>19.8789</v>
      </c>
    </row>
    <row r="19" customFormat="false" ht="12.8" hidden="false" customHeight="false" outlineLevel="0" collapsed="false">
      <c r="B19" s="25"/>
      <c r="C19" s="6"/>
      <c r="D19" s="0" t="s">
        <v>28</v>
      </c>
      <c r="E19" s="0" t="n">
        <f aca="false">H6</f>
        <v>250</v>
      </c>
      <c r="F19" s="26" t="n">
        <v>0.0236302</v>
      </c>
      <c r="H19" s="24" t="n">
        <f aca="false">E19*F19</f>
        <v>5.90755</v>
      </c>
      <c r="J19" s="25"/>
      <c r="K19" s="10"/>
      <c r="L19" s="0" t="s">
        <v>29</v>
      </c>
      <c r="M19" s="0" t="n">
        <f aca="false">H6</f>
        <v>250</v>
      </c>
      <c r="N19" s="23" t="n">
        <v>0.01665</v>
      </c>
      <c r="P19" s="24" t="n">
        <f aca="false">M19*N19</f>
        <v>4.1625</v>
      </c>
    </row>
    <row r="20" customFormat="false" ht="12.8" hidden="false" customHeight="false" outlineLevel="0" collapsed="false">
      <c r="B20" s="25"/>
      <c r="C20" s="6"/>
      <c r="D20" s="0" t="s">
        <v>30</v>
      </c>
      <c r="E20" s="0" t="n">
        <f aca="false">H6</f>
        <v>250</v>
      </c>
      <c r="F20" s="23" t="n">
        <v>0.00056</v>
      </c>
      <c r="H20" s="24" t="n">
        <f aca="false">E20*F20</f>
        <v>0.14</v>
      </c>
      <c r="J20" s="25"/>
      <c r="K20" s="10"/>
      <c r="N20" s="23"/>
      <c r="P20" s="24"/>
    </row>
    <row r="21" customFormat="false" ht="12.8" hidden="false" customHeight="false" outlineLevel="0" collapsed="false">
      <c r="B21" s="25"/>
      <c r="C21" s="6"/>
      <c r="D21" s="0" t="s">
        <v>31</v>
      </c>
      <c r="E21" s="0" t="n">
        <f aca="false">H6</f>
        <v>250</v>
      </c>
      <c r="F21" s="26" t="n">
        <v>-0.01603</v>
      </c>
      <c r="H21" s="24" t="n">
        <f aca="false">E21*F21</f>
        <v>-4.0075</v>
      </c>
      <c r="J21" s="25"/>
      <c r="K21" s="10"/>
      <c r="L21" s="0" t="s">
        <v>32</v>
      </c>
      <c r="M21" s="0" t="n">
        <f aca="false">H6</f>
        <v>250</v>
      </c>
      <c r="N21" s="23" t="n">
        <v>-0.03623</v>
      </c>
      <c r="P21" s="24" t="n">
        <f aca="false">M21*N21</f>
        <v>-9.0575</v>
      </c>
    </row>
    <row r="22" customFormat="false" ht="12.8" hidden="false" customHeight="false" outlineLevel="0" collapsed="false">
      <c r="B22" s="22" t="n">
        <f aca="false">B6</f>
        <v>45474</v>
      </c>
      <c r="C22" s="7" t="n">
        <f aca="false">C6</f>
        <v>45504</v>
      </c>
      <c r="D22" s="27" t="str">
        <f aca="false">"Subtotale materia energia ("&amp;TEXT(B22,"MMMM")&amp;")"</f>
        <v>Subtotale materia energia (luglio)</v>
      </c>
      <c r="H22" s="24" t="n">
        <f aca="false">SUM(H15:H21)</f>
        <v>27.3561617433333</v>
      </c>
      <c r="J22" s="22" t="n">
        <f aca="false">B6</f>
        <v>45474</v>
      </c>
      <c r="K22" s="7" t="n">
        <f aca="false">C6</f>
        <v>45504</v>
      </c>
      <c r="L22" s="0" t="s">
        <v>33</v>
      </c>
      <c r="N22" s="23"/>
      <c r="P22" s="24" t="n">
        <f aca="false">SUM(P15:P21)</f>
        <v>29.0935166666667</v>
      </c>
    </row>
    <row r="23" customFormat="false" ht="12.8" hidden="false" customHeight="false" outlineLevel="0" collapsed="false">
      <c r="B23" s="25"/>
      <c r="C23" s="6"/>
      <c r="H23" s="28"/>
      <c r="J23" s="25"/>
      <c r="K23" s="10"/>
      <c r="N23" s="23"/>
      <c r="P23" s="28"/>
    </row>
    <row r="24" customFormat="false" ht="12.8" hidden="false" customHeight="false" outlineLevel="0" collapsed="false">
      <c r="B24" s="22" t="n">
        <f aca="false">B7</f>
        <v>45505</v>
      </c>
      <c r="C24" s="29" t="n">
        <f aca="false">C7</f>
        <v>45535</v>
      </c>
      <c r="D24" s="0" t="s">
        <v>20</v>
      </c>
      <c r="E24" s="0" t="n">
        <f aca="false">MAX(0,ROUND((C24-B24+1)/365*12,0))</f>
        <v>1</v>
      </c>
      <c r="F24" s="23" t="n">
        <f aca="false">-72.6542/12</f>
        <v>-6.05451666666667</v>
      </c>
      <c r="H24" s="24" t="n">
        <f aca="false">E24*F24</f>
        <v>-6.05451666666667</v>
      </c>
      <c r="J24" s="22" t="n">
        <f aca="false">B7</f>
        <v>45505</v>
      </c>
      <c r="K24" s="7" t="n">
        <f aca="false">C7</f>
        <v>45535</v>
      </c>
      <c r="L24" s="0" t="s">
        <v>21</v>
      </c>
      <c r="M24" s="0" t="n">
        <f aca="false">ROUND((K24-J24)/30,0)</f>
        <v>1</v>
      </c>
      <c r="N24" s="23" t="n">
        <f aca="false">40/12</f>
        <v>3.33333333333333</v>
      </c>
      <c r="P24" s="24" t="n">
        <f aca="false">M24*N24</f>
        <v>3.33333333333333</v>
      </c>
    </row>
    <row r="25" customFormat="false" ht="12.8" hidden="false" customHeight="false" outlineLevel="0" collapsed="false">
      <c r="B25" s="25"/>
      <c r="C25" s="6"/>
      <c r="D25" s="0" t="s">
        <v>22</v>
      </c>
      <c r="E25" s="0" t="n">
        <f aca="false">E7</f>
        <v>82.5</v>
      </c>
      <c r="F25" s="23" t="n">
        <f aca="false">E12*1.1</f>
        <v>0.133837515142857</v>
      </c>
      <c r="H25" s="24" t="n">
        <f aca="false">E25*F25</f>
        <v>11.0415949992857</v>
      </c>
      <c r="J25" s="25"/>
      <c r="K25" s="10"/>
      <c r="L25" s="0" t="s">
        <v>23</v>
      </c>
      <c r="M25" s="0" t="n">
        <f aca="false">M24</f>
        <v>1</v>
      </c>
      <c r="N25" s="23" t="n">
        <f aca="false">1.3183/12</f>
        <v>0.109858333333333</v>
      </c>
      <c r="P25" s="24" t="n">
        <f aca="false">M25*N25</f>
        <v>0.109858333333333</v>
      </c>
    </row>
    <row r="26" customFormat="false" ht="12.8" hidden="false" customHeight="false" outlineLevel="0" collapsed="false">
      <c r="B26" s="25"/>
      <c r="C26" s="6"/>
      <c r="D26" s="0" t="s">
        <v>24</v>
      </c>
      <c r="E26" s="0" t="n">
        <f aca="false">F7</f>
        <v>77.5</v>
      </c>
      <c r="F26" s="23" t="n">
        <f aca="false">F12*1.1</f>
        <v>0.162748539681081</v>
      </c>
      <c r="H26" s="24" t="n">
        <f aca="false">E26*F26</f>
        <v>12.6130118252838</v>
      </c>
      <c r="J26" s="25"/>
      <c r="K26" s="10"/>
      <c r="L26" s="0" t="s">
        <v>25</v>
      </c>
      <c r="M26" s="0" t="n">
        <f aca="false">E7</f>
        <v>82.5</v>
      </c>
      <c r="N26" s="23" t="n">
        <v>0.12929</v>
      </c>
      <c r="P26" s="24" t="n">
        <f aca="false">M26*N26</f>
        <v>10.666425</v>
      </c>
    </row>
    <row r="27" customFormat="false" ht="12.8" hidden="false" customHeight="false" outlineLevel="0" collapsed="false">
      <c r="B27" s="25"/>
      <c r="C27" s="6"/>
      <c r="D27" s="0" t="s">
        <v>26</v>
      </c>
      <c r="E27" s="0" t="n">
        <f aca="false">G7</f>
        <v>90</v>
      </c>
      <c r="F27" s="23" t="n">
        <f aca="false">G12*1.1</f>
        <v>0.134409353810976</v>
      </c>
      <c r="H27" s="24" t="n">
        <f aca="false">E27*F27</f>
        <v>12.0968418429878</v>
      </c>
      <c r="J27" s="25"/>
      <c r="K27" s="10"/>
      <c r="L27" s="0" t="s">
        <v>27</v>
      </c>
      <c r="M27" s="0" t="n">
        <f aca="false">F7+G7</f>
        <v>167.5</v>
      </c>
      <c r="N27" s="23" t="n">
        <v>0.11868</v>
      </c>
      <c r="P27" s="24" t="n">
        <f aca="false">M27*N27</f>
        <v>19.8789</v>
      </c>
    </row>
    <row r="28" customFormat="false" ht="12.8" hidden="false" customHeight="false" outlineLevel="0" collapsed="false">
      <c r="B28" s="25"/>
      <c r="C28" s="6"/>
      <c r="D28" s="0" t="s">
        <v>28</v>
      </c>
      <c r="E28" s="0" t="n">
        <f aca="false">H7</f>
        <v>250</v>
      </c>
      <c r="F28" s="26" t="n">
        <v>0.0104313</v>
      </c>
      <c r="H28" s="24" t="n">
        <f aca="false">E28*F28</f>
        <v>2.607825</v>
      </c>
      <c r="J28" s="25"/>
      <c r="K28" s="10"/>
      <c r="L28" s="0" t="s">
        <v>29</v>
      </c>
      <c r="M28" s="0" t="n">
        <f aca="false">H7</f>
        <v>250</v>
      </c>
      <c r="N28" s="23" t="n">
        <v>0.01665</v>
      </c>
      <c r="P28" s="24" t="n">
        <f aca="false">M28*N28</f>
        <v>4.1625</v>
      </c>
    </row>
    <row r="29" customFormat="false" ht="12.8" hidden="false" customHeight="false" outlineLevel="0" collapsed="false">
      <c r="B29" s="25"/>
      <c r="C29" s="6"/>
      <c r="D29" s="0" t="s">
        <v>30</v>
      </c>
      <c r="E29" s="0" t="n">
        <f aca="false">H7</f>
        <v>250</v>
      </c>
      <c r="F29" s="23" t="n">
        <v>0.00056</v>
      </c>
      <c r="H29" s="24" t="n">
        <f aca="false">E29*F29</f>
        <v>0.14</v>
      </c>
      <c r="J29" s="25"/>
      <c r="K29" s="10"/>
      <c r="N29" s="23"/>
      <c r="P29" s="24"/>
    </row>
    <row r="30" customFormat="false" ht="12.8" hidden="false" customHeight="false" outlineLevel="0" collapsed="false">
      <c r="B30" s="25"/>
      <c r="C30" s="6"/>
      <c r="D30" s="0" t="s">
        <v>31</v>
      </c>
      <c r="E30" s="0" t="n">
        <f aca="false">H7</f>
        <v>250</v>
      </c>
      <c r="F30" s="26" t="n">
        <v>-0.01603</v>
      </c>
      <c r="H30" s="24" t="n">
        <f aca="false">E30*F30</f>
        <v>-4.0075</v>
      </c>
      <c r="J30" s="25"/>
      <c r="K30" s="10"/>
      <c r="L30" s="0" t="s">
        <v>32</v>
      </c>
      <c r="M30" s="0" t="n">
        <f aca="false">H7</f>
        <v>250</v>
      </c>
      <c r="N30" s="23" t="n">
        <v>-0.03623</v>
      </c>
      <c r="P30" s="24" t="n">
        <f aca="false">M30*N30</f>
        <v>-9.0575</v>
      </c>
    </row>
    <row r="31" customFormat="false" ht="12.8" hidden="false" customHeight="false" outlineLevel="0" collapsed="false">
      <c r="B31" s="22" t="n">
        <f aca="false">B7</f>
        <v>45505</v>
      </c>
      <c r="C31" s="7" t="n">
        <f aca="false">C7</f>
        <v>45535</v>
      </c>
      <c r="D31" s="27" t="str">
        <f aca="false">"Subtotale materia energia ("&amp;TEXT(B31,"MMMM")&amp;")"</f>
        <v>Subtotale materia energia (agosto)</v>
      </c>
      <c r="H31" s="24" t="n">
        <f aca="false">SUM(H24:H30)</f>
        <v>28.4372570008906</v>
      </c>
      <c r="J31" s="22" t="n">
        <f aca="false">B7</f>
        <v>45505</v>
      </c>
      <c r="K31" s="7" t="n">
        <f aca="false">C7</f>
        <v>45535</v>
      </c>
      <c r="L31" s="0" t="s">
        <v>33</v>
      </c>
      <c r="N31" s="23"/>
      <c r="P31" s="24" t="n">
        <f aca="false">SUM(P24:P30)</f>
        <v>29.0935166666667</v>
      </c>
    </row>
    <row r="32" customFormat="false" ht="12.8" hidden="false" customHeight="false" outlineLevel="0" collapsed="false">
      <c r="B32" s="25"/>
      <c r="C32" s="6"/>
      <c r="H32" s="28"/>
      <c r="J32" s="25"/>
      <c r="K32" s="10"/>
      <c r="N32" s="23"/>
      <c r="P32" s="28"/>
    </row>
    <row r="33" customFormat="false" ht="12.8" hidden="false" customHeight="false" outlineLevel="0" collapsed="false">
      <c r="B33" s="30" t="n">
        <f aca="false">B6</f>
        <v>45474</v>
      </c>
      <c r="C33" s="31" t="n">
        <f aca="false">C7</f>
        <v>45535</v>
      </c>
      <c r="D33" s="32" t="str">
        <f aca="false">"Totale materia energia ("&amp;TEXT(B36,"MMMM")&amp;"+"&amp;TEXT(C36,"MMMM")&amp;")"</f>
        <v>Totale materia energia (luglio+agosto)</v>
      </c>
      <c r="E33" s="33"/>
      <c r="F33" s="33"/>
      <c r="G33" s="33"/>
      <c r="H33" s="34" t="n">
        <f aca="false">H22+H31</f>
        <v>55.793418744224</v>
      </c>
      <c r="J33" s="30" t="n">
        <f aca="false">B6</f>
        <v>45474</v>
      </c>
      <c r="K33" s="31" t="n">
        <f aca="false">C7</f>
        <v>45535</v>
      </c>
      <c r="L33" s="33" t="s">
        <v>34</v>
      </c>
      <c r="M33" s="33"/>
      <c r="N33" s="35"/>
      <c r="O33" s="33"/>
      <c r="P33" s="34" t="n">
        <f aca="false">P22+P31</f>
        <v>58.1870333333333</v>
      </c>
    </row>
    <row r="34" customFormat="false" ht="12.8" hidden="false" customHeight="false" outlineLevel="0" collapsed="false">
      <c r="N34" s="23"/>
    </row>
    <row r="35" customFormat="false" ht="15" hidden="false" customHeight="false" outlineLevel="0" collapsed="false">
      <c r="B35" s="36" t="s">
        <v>35</v>
      </c>
      <c r="C35" s="18"/>
      <c r="D35" s="19" t="s">
        <v>16</v>
      </c>
      <c r="E35" s="19" t="s">
        <v>17</v>
      </c>
      <c r="F35" s="20" t="s">
        <v>18</v>
      </c>
      <c r="G35" s="19"/>
      <c r="H35" s="21" t="s">
        <v>19</v>
      </c>
      <c r="J35" s="36" t="s">
        <v>35</v>
      </c>
      <c r="K35" s="18"/>
      <c r="L35" s="19" t="s">
        <v>16</v>
      </c>
      <c r="M35" s="19" t="s">
        <v>17</v>
      </c>
      <c r="N35" s="37" t="s">
        <v>18</v>
      </c>
      <c r="O35" s="18"/>
      <c r="P35" s="21" t="s">
        <v>19</v>
      </c>
    </row>
    <row r="36" customFormat="false" ht="12.8" hidden="false" customHeight="false" outlineLevel="0" collapsed="false">
      <c r="B36" s="22" t="n">
        <f aca="false">B6</f>
        <v>45474</v>
      </c>
      <c r="C36" s="7" t="n">
        <f aca="false">C7</f>
        <v>45535</v>
      </c>
      <c r="D36" s="0" t="s">
        <v>36</v>
      </c>
      <c r="E36" s="0" t="n">
        <f aca="false">MAX(0,ROUND((C36-B36)*12/365,0))</f>
        <v>2</v>
      </c>
      <c r="F36" s="26" t="n">
        <f aca="false">3.68/2</f>
        <v>1.84</v>
      </c>
      <c r="H36" s="24" t="n">
        <f aca="false">E36*F36</f>
        <v>3.68</v>
      </c>
      <c r="J36" s="22" t="n">
        <f aca="false">B6</f>
        <v>45474</v>
      </c>
      <c r="K36" s="7" t="n">
        <f aca="false">C7</f>
        <v>45535</v>
      </c>
      <c r="L36" s="0" t="s">
        <v>36</v>
      </c>
      <c r="M36" s="0" t="n">
        <f aca="false">ROUND((K36-J36)*12/365,0)</f>
        <v>2</v>
      </c>
      <c r="N36" s="23" t="n">
        <f aca="false">F36</f>
        <v>1.84</v>
      </c>
      <c r="P36" s="24" t="n">
        <f aca="false">M36*N36</f>
        <v>3.68</v>
      </c>
    </row>
    <row r="37" customFormat="false" ht="12.8" hidden="false" customHeight="false" outlineLevel="0" collapsed="false">
      <c r="B37" s="38"/>
      <c r="D37" s="0" t="s">
        <v>37</v>
      </c>
      <c r="E37" s="39" t="str">
        <f aca="false">""&amp;C2&amp;"×"&amp;ROUND((C36-B36)*12/365,0)</f>
        <v>3×2</v>
      </c>
      <c r="F37" s="26" t="n">
        <f aca="false">(22.2+0.1988)/12</f>
        <v>1.86656666666667</v>
      </c>
      <c r="H37" s="24" t="n">
        <f aca="false">C2*ROUND((C36-B36)*12/365,0)*F37</f>
        <v>11.1994</v>
      </c>
      <c r="J37" s="25"/>
      <c r="K37" s="10"/>
      <c r="L37" s="0" t="s">
        <v>37</v>
      </c>
      <c r="M37" s="39" t="str">
        <f aca="false">""&amp;C2&amp;"×"&amp;ROUND((C36-B36)*12/365,0)</f>
        <v>3×2</v>
      </c>
      <c r="N37" s="23" t="n">
        <f aca="false">F37</f>
        <v>1.86656666666667</v>
      </c>
      <c r="P37" s="24" t="n">
        <f aca="false">C2*ROUND((K36-J36)*12/365,0)*N37</f>
        <v>11.1994</v>
      </c>
    </row>
    <row r="38" customFormat="false" ht="12.8" hidden="false" customHeight="false" outlineLevel="0" collapsed="false">
      <c r="B38" s="38"/>
      <c r="D38" s="0" t="s">
        <v>38</v>
      </c>
      <c r="E38" s="0" t="n">
        <f aca="false">H6+H7</f>
        <v>500</v>
      </c>
      <c r="F38" s="26" t="n">
        <f aca="false">0.01057+0.00156+0.00007</f>
        <v>0.0122</v>
      </c>
      <c r="H38" s="24" t="n">
        <f aca="false">E38*F38</f>
        <v>6.1</v>
      </c>
      <c r="J38" s="25"/>
      <c r="K38" s="10"/>
      <c r="L38" s="0" t="s">
        <v>38</v>
      </c>
      <c r="M38" s="0" t="n">
        <f aca="false">H6+H7</f>
        <v>500</v>
      </c>
      <c r="N38" s="23" t="n">
        <f aca="false">F38</f>
        <v>0.0122</v>
      </c>
      <c r="P38" s="24" t="n">
        <f aca="false">M38*N38</f>
        <v>6.1</v>
      </c>
    </row>
    <row r="39" customFormat="false" ht="12.8" hidden="false" customHeight="false" outlineLevel="0" collapsed="false">
      <c r="B39" s="40"/>
      <c r="C39" s="41"/>
      <c r="D39" s="32" t="str">
        <f aca="false">"Totale trasporto e gestione contatore ("&amp;TEXT(B36,"MMM")&amp;"+"&amp;TEXT(C36,"MMM")&amp;")"</f>
        <v>Totale trasporto e gestione contatore (lug+ago)</v>
      </c>
      <c r="E39" s="33"/>
      <c r="F39" s="33"/>
      <c r="G39" s="33"/>
      <c r="H39" s="34" t="n">
        <f aca="false">SUM(H36:H38)</f>
        <v>20.9794</v>
      </c>
      <c r="J39" s="42"/>
      <c r="K39" s="43"/>
      <c r="L39" s="33" t="s">
        <v>39</v>
      </c>
      <c r="M39" s="41"/>
      <c r="N39" s="44"/>
      <c r="O39" s="41"/>
      <c r="P39" s="34" t="n">
        <f aca="false">SUM(P36:P38)</f>
        <v>20.9794</v>
      </c>
    </row>
    <row r="40" customFormat="false" ht="12.8" hidden="false" customHeight="false" outlineLevel="0" collapsed="false">
      <c r="N40" s="23"/>
    </row>
    <row r="41" customFormat="false" ht="15" hidden="false" customHeight="false" outlineLevel="0" collapsed="false">
      <c r="B41" s="36" t="s">
        <v>40</v>
      </c>
      <c r="C41" s="18"/>
      <c r="D41" s="19" t="s">
        <v>16</v>
      </c>
      <c r="E41" s="19" t="s">
        <v>17</v>
      </c>
      <c r="F41" s="20" t="s">
        <v>18</v>
      </c>
      <c r="G41" s="19"/>
      <c r="H41" s="21" t="s">
        <v>19</v>
      </c>
      <c r="J41" s="36" t="s">
        <v>40</v>
      </c>
      <c r="K41" s="18"/>
      <c r="L41" s="19" t="s">
        <v>16</v>
      </c>
      <c r="M41" s="19" t="s">
        <v>17</v>
      </c>
      <c r="N41" s="37" t="s">
        <v>18</v>
      </c>
      <c r="O41" s="19"/>
      <c r="P41" s="21" t="s">
        <v>19</v>
      </c>
    </row>
    <row r="42" customFormat="false" ht="12.8" hidden="false" customHeight="false" outlineLevel="0" collapsed="false">
      <c r="B42" s="22" t="n">
        <f aca="false">B6</f>
        <v>45474</v>
      </c>
      <c r="C42" s="7" t="n">
        <f aca="false">C7</f>
        <v>45535</v>
      </c>
      <c r="D42" s="0" t="s">
        <v>41</v>
      </c>
      <c r="E42" s="0" t="n">
        <f aca="false">H6+H7</f>
        <v>500</v>
      </c>
      <c r="F42" s="45" t="n">
        <f aca="false">0.029809</f>
        <v>0.029809</v>
      </c>
      <c r="H42" s="24" t="n">
        <f aca="false">E42*F42</f>
        <v>14.9045</v>
      </c>
      <c r="J42" s="22" t="n">
        <f aca="false">B6</f>
        <v>45474</v>
      </c>
      <c r="K42" s="7" t="n">
        <f aca="false">C7</f>
        <v>45535</v>
      </c>
      <c r="L42" s="0" t="s">
        <v>41</v>
      </c>
      <c r="M42" s="0" t="n">
        <f aca="false">H6+H7</f>
        <v>500</v>
      </c>
      <c r="N42" s="23" t="n">
        <f aca="false">F42</f>
        <v>0.029809</v>
      </c>
      <c r="P42" s="24" t="n">
        <f aca="false">M42*N42</f>
        <v>14.9045</v>
      </c>
    </row>
    <row r="43" customFormat="false" ht="12.8" hidden="false" customHeight="false" outlineLevel="0" collapsed="false">
      <c r="B43" s="38"/>
      <c r="D43" s="0" t="s">
        <v>42</v>
      </c>
      <c r="E43" s="0" t="n">
        <f aca="false">H6+H7</f>
        <v>500</v>
      </c>
      <c r="F43" s="45" t="n">
        <v>0.008828</v>
      </c>
      <c r="H43" s="24" t="n">
        <f aca="false">E43*F43</f>
        <v>4.414</v>
      </c>
      <c r="J43" s="25"/>
      <c r="K43" s="10"/>
      <c r="L43" s="0" t="s">
        <v>42</v>
      </c>
      <c r="M43" s="0" t="n">
        <f aca="false">H6+H7</f>
        <v>500</v>
      </c>
      <c r="N43" s="23" t="n">
        <f aca="false">F43</f>
        <v>0.008828</v>
      </c>
      <c r="P43" s="24" t="n">
        <f aca="false">M43*N43</f>
        <v>4.414</v>
      </c>
    </row>
    <row r="44" customFormat="false" ht="12.8" hidden="false" customHeight="false" outlineLevel="0" collapsed="false">
      <c r="B44" s="38"/>
      <c r="D44" s="0" t="s">
        <v>43</v>
      </c>
      <c r="E44" s="0" t="n">
        <f aca="false">ROUND((C42-B42)*12/365,0)*AND(UPPER(C3)&lt;&gt;"SI",UPPER(C3)&lt;&gt;"SÌ")</f>
        <v>0</v>
      </c>
      <c r="F44" s="45" t="n">
        <f aca="false">91.5624/12</f>
        <v>7.6302</v>
      </c>
      <c r="H44" s="24" t="n">
        <f aca="false">E44*F44</f>
        <v>0</v>
      </c>
      <c r="J44" s="25"/>
      <c r="K44" s="10"/>
      <c r="L44" s="0" t="s">
        <v>43</v>
      </c>
      <c r="M44" s="0" t="n">
        <f aca="false">ROUND((K42-J42)*12/365,0)*AND(UPPER(C3)&lt;&gt;"SI",UPPER(C3)&lt;&gt;"SÌ")</f>
        <v>0</v>
      </c>
      <c r="N44" s="23" t="n">
        <f aca="false">F44</f>
        <v>7.6302</v>
      </c>
      <c r="P44" s="24" t="n">
        <f aca="false">M44*N44</f>
        <v>0</v>
      </c>
      <c r="R44" s="46"/>
    </row>
    <row r="45" customFormat="false" ht="12.8" hidden="false" customHeight="false" outlineLevel="0" collapsed="false">
      <c r="B45" s="40"/>
      <c r="C45" s="41"/>
      <c r="D45" s="32" t="str">
        <f aca="false">"Totale Oneri di sistema ("&amp;TEXT(B42,"MMMM")&amp;"+"&amp;TEXT(C42,"mmmm")&amp;")"</f>
        <v>Totale Oneri di sistema (luglio+agosto)</v>
      </c>
      <c r="E45" s="33"/>
      <c r="F45" s="33"/>
      <c r="G45" s="33"/>
      <c r="H45" s="34" t="n">
        <f aca="false">SUM(H42:H44)</f>
        <v>19.3185</v>
      </c>
      <c r="J45" s="42"/>
      <c r="K45" s="43"/>
      <c r="L45" s="33" t="s">
        <v>44</v>
      </c>
      <c r="M45" s="41"/>
      <c r="N45" s="44"/>
      <c r="O45" s="41"/>
      <c r="P45" s="34" t="n">
        <f aca="false">SUM(P42:P44)</f>
        <v>19.3185</v>
      </c>
    </row>
    <row r="46" customFormat="false" ht="12.8" hidden="false" customHeight="false" outlineLevel="0" collapsed="false">
      <c r="N46" s="23"/>
    </row>
    <row r="47" customFormat="false" ht="15" hidden="false" customHeight="false" outlineLevel="0" collapsed="false">
      <c r="B47" s="36" t="s">
        <v>45</v>
      </c>
      <c r="C47" s="18"/>
      <c r="D47" s="19" t="s">
        <v>16</v>
      </c>
      <c r="E47" s="19" t="s">
        <v>17</v>
      </c>
      <c r="F47" s="20" t="s">
        <v>18</v>
      </c>
      <c r="G47" s="19"/>
      <c r="H47" s="21" t="s">
        <v>19</v>
      </c>
      <c r="J47" s="36" t="s">
        <v>45</v>
      </c>
      <c r="K47" s="18"/>
      <c r="L47" s="19" t="s">
        <v>16</v>
      </c>
      <c r="M47" s="19" t="s">
        <v>17</v>
      </c>
      <c r="N47" s="37" t="s">
        <v>18</v>
      </c>
      <c r="O47" s="19"/>
      <c r="P47" s="21" t="s">
        <v>19</v>
      </c>
    </row>
    <row r="48" customFormat="false" ht="12.8" hidden="false" customHeight="false" outlineLevel="0" collapsed="false">
      <c r="B48" s="22" t="n">
        <f aca="false">B6</f>
        <v>45474</v>
      </c>
      <c r="C48" s="29" t="n">
        <f aca="false">C6</f>
        <v>45504</v>
      </c>
      <c r="D48" s="0" t="s">
        <v>46</v>
      </c>
      <c r="E48" s="0" t="n">
        <f aca="false">ROUND(H6-OR(UPPER(C3)="SI",UPPER(C3)="SÌ")*(C2&lt;=3)*MAX(0,MIN(1800*(C48-B48+1)/365,2220*(C48-B48+1)/365-ABS(H6-2220*(C48-B48+1)/365))),0)</f>
        <v>123</v>
      </c>
      <c r="F48" s="23" t="n">
        <v>0.0227</v>
      </c>
      <c r="H48" s="24" t="n">
        <f aca="false">E48*F48</f>
        <v>2.7921</v>
      </c>
      <c r="J48" s="47" t="n">
        <f aca="false">B6</f>
        <v>45474</v>
      </c>
      <c r="K48" s="48" t="n">
        <f aca="false">C6</f>
        <v>45504</v>
      </c>
      <c r="M48" s="0" t="n">
        <f aca="false">ROUND(H6-OR(UPPER(C3)="SI",UPPER(C3)="SÌ")*(C2&lt;=3)*MAX(0,MIN(1800*(C48-B48+1)/365,2220*(C48-B48+1)/365-ABS(H6-2220*(C48-B48+1)/365))),0)</f>
        <v>123</v>
      </c>
      <c r="N48" s="23" t="n">
        <v>0.0227</v>
      </c>
      <c r="P48" s="24" t="n">
        <f aca="false">M48*N48</f>
        <v>2.7921</v>
      </c>
    </row>
    <row r="49" customFormat="false" ht="12.8" hidden="false" customHeight="false" outlineLevel="0" collapsed="false">
      <c r="B49" s="22" t="n">
        <f aca="false">B7</f>
        <v>45505</v>
      </c>
      <c r="C49" s="29" t="n">
        <f aca="false">C7</f>
        <v>45535</v>
      </c>
      <c r="D49" s="0" t="s">
        <v>46</v>
      </c>
      <c r="E49" s="0" t="n">
        <f aca="false">ROUND(H7-OR(UPPER(C3)="SI",UPPER(C3)="SÌ")*(C2&lt;=3)*MAX(0,MIN(1800*(C49-B49+1)/365,2220*(C49-B49+1)/365-ABS(H7-2220*(C49-B49+1)/365))),0)</f>
        <v>123</v>
      </c>
      <c r="F49" s="23" t="n">
        <v>0.0227</v>
      </c>
      <c r="H49" s="24" t="n">
        <f aca="false">E49*F49</f>
        <v>2.7921</v>
      </c>
      <c r="J49" s="47" t="n">
        <f aca="false">B7</f>
        <v>45505</v>
      </c>
      <c r="K49" s="48" t="n">
        <f aca="false">C7</f>
        <v>45535</v>
      </c>
      <c r="M49" s="0" t="n">
        <f aca="false">ROUND(H7-OR(UPPER(C3)="SI",UPPER(C3)="SÌ")*(C2&lt;=3)*MAX(0,MIN(1800*(C49-B49+1)/365,2220*(C49-B49+1)/365-ABS(H7-2220*(C49-B49+1)/365))),0)</f>
        <v>123</v>
      </c>
      <c r="N49" s="23" t="n">
        <v>0.0227</v>
      </c>
      <c r="P49" s="24" t="n">
        <f aca="false">M49*N49</f>
        <v>2.7921</v>
      </c>
    </row>
    <row r="50" customFormat="false" ht="12.8" hidden="false" customHeight="false" outlineLevel="0" collapsed="false">
      <c r="B50" s="40"/>
      <c r="C50" s="41"/>
      <c r="D50" s="32" t="str">
        <f aca="false">"Totale accisa ("&amp;TEXT(B48,"MMMM")&amp;"+"&amp;TEXT(B49,"mmmm")&amp;")"</f>
        <v>Totale accisa (luglio+agosto)</v>
      </c>
      <c r="E50" s="41"/>
      <c r="F50" s="41"/>
      <c r="G50" s="41"/>
      <c r="H50" s="34" t="n">
        <f aca="false">H48+H49</f>
        <v>5.5842</v>
      </c>
      <c r="J50" s="40"/>
      <c r="K50" s="41"/>
      <c r="L50" s="33" t="s">
        <v>47</v>
      </c>
      <c r="M50" s="41"/>
      <c r="N50" s="44"/>
      <c r="O50" s="41"/>
      <c r="P50" s="34" t="n">
        <f aca="false">P48+P49</f>
        <v>5.5842</v>
      </c>
    </row>
    <row r="52" customFormat="false" ht="12.8" hidden="false" customHeight="false" outlineLevel="0" collapsed="false">
      <c r="B52" s="49" t="s">
        <v>48</v>
      </c>
      <c r="H52" s="13" t="n">
        <f aca="false">H22+H31+H39+H45+H50</f>
        <v>101.675518744224</v>
      </c>
      <c r="J52" s="49" t="s">
        <v>48</v>
      </c>
      <c r="P52" s="13" t="n">
        <f aca="false">P22+P31+P39+P45+P50</f>
        <v>104.069133333333</v>
      </c>
      <c r="R52" s="13"/>
    </row>
    <row r="53" customFormat="false" ht="12.8" hidden="false" customHeight="false" outlineLevel="0" collapsed="false">
      <c r="B53" s="49" t="s">
        <v>49</v>
      </c>
      <c r="H53" s="13" t="n">
        <f aca="false">H52*0.1</f>
        <v>10.1675518744224</v>
      </c>
      <c r="J53" s="49" t="s">
        <v>49</v>
      </c>
      <c r="P53" s="13" t="n">
        <f aca="false">P52*0.1</f>
        <v>10.4069133333333</v>
      </c>
      <c r="R53" s="13"/>
    </row>
    <row r="55" customFormat="false" ht="15" hidden="false" customHeight="false" outlineLevel="0" collapsed="false">
      <c r="B55" s="1" t="s">
        <v>50</v>
      </c>
      <c r="C55" s="1"/>
      <c r="D55" s="1"/>
      <c r="E55" s="1"/>
      <c r="F55" s="1"/>
      <c r="G55" s="1"/>
      <c r="H55" s="50" t="n">
        <f aca="false">H52+H53</f>
        <v>111.843070618646</v>
      </c>
      <c r="J55" s="1" t="s">
        <v>51</v>
      </c>
      <c r="K55" s="1"/>
      <c r="L55" s="1"/>
      <c r="M55" s="1"/>
      <c r="N55" s="1"/>
      <c r="O55" s="1"/>
      <c r="P55" s="50" t="n">
        <f aca="false">P52+P53</f>
        <v>114.476046666667</v>
      </c>
      <c r="R55" s="50"/>
    </row>
    <row r="57" customFormat="false" ht="15" hidden="false" customHeight="false" outlineLevel="0" collapsed="false">
      <c r="J57" s="49"/>
      <c r="P57" s="1"/>
    </row>
  </sheetData>
  <mergeCells count="4">
    <mergeCell ref="E4:H4"/>
    <mergeCell ref="B5:C5"/>
    <mergeCell ref="E9:G9"/>
    <mergeCell ref="B10:C1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3108</TotalTime>
  <Application>LibreOffice/7.2.6.2$MacOSX_X86_64 LibreOffice_project/b0ec3a565991f7569a5a7f5d24fed7f52653d754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2024-08-30T15:07:49Z</dcterms:created>
  <dc:creator>Guido Tonini</dc:creator>
  <dc:description/>
  <dc:language>en-NZ</dc:language>
  <cp:lastModifiedBy>Guido Tonini</cp:lastModifiedBy>
  <dcterms:modified xsi:type="dcterms:W3CDTF">2024-09-24T03:01:56Z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